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ate1904="1"/>
  <mc:AlternateContent xmlns:mc="http://schemas.openxmlformats.org/markup-compatibility/2006">
    <mc:Choice Requires="x15">
      <x15ac:absPath xmlns:x15ac="http://schemas.microsoft.com/office/spreadsheetml/2010/11/ac" url="/Users/gregorsabass/Downloads/"/>
    </mc:Choice>
  </mc:AlternateContent>
  <xr:revisionPtr revIDLastSave="0" documentId="13_ncr:1_{ADD2666E-DDEC-0C46-BFF7-7091A8A20306}" xr6:coauthVersionLast="36" xr6:coauthVersionMax="36" xr10:uidLastSave="{00000000-0000-0000-0000-000000000000}"/>
  <bookViews>
    <workbookView xWindow="0" yWindow="460" windowWidth="28800" windowHeight="17540" tabRatio="500" xr2:uid="{00000000-000D-0000-FFFF-FFFF00000000}"/>
  </bookViews>
  <sheets>
    <sheet name="Square Calculator" sheetId="1" r:id="rId1"/>
    <sheet name="Nomina Barbara" sheetId="2" r:id="rId2"/>
  </sheets>
  <definedNames>
    <definedName name="_xlnm._FilterDatabase" localSheetId="1" hidden="1">'Nomina Barbara'!$Y$10:$AB$10</definedName>
  </definedNames>
  <calcPr calcId="181029" concurrentCalc="0"/>
</workbook>
</file>

<file path=xl/calcChain.xml><?xml version="1.0" encoding="utf-8"?>
<calcChain xmlns="http://schemas.openxmlformats.org/spreadsheetml/2006/main">
  <c r="F13" i="1" l="1"/>
  <c r="F12" i="1"/>
  <c r="G14" i="1"/>
  <c r="I11" i="1"/>
  <c r="G16" i="1"/>
  <c r="J11" i="1"/>
  <c r="K11" i="1"/>
  <c r="J13" i="1"/>
  <c r="U11" i="1"/>
  <c r="V11" i="1"/>
  <c r="W11" i="1"/>
  <c r="Z11" i="1"/>
  <c r="AB11" i="1"/>
  <c r="AC11" i="1"/>
  <c r="AD11" i="1"/>
  <c r="AE11" i="1"/>
  <c r="AF11" i="1"/>
  <c r="AG11" i="1"/>
  <c r="AI11" i="1"/>
  <c r="AJ11" i="1"/>
  <c r="AK11" i="1"/>
  <c r="AL11" i="1"/>
  <c r="AM11" i="1"/>
  <c r="AN11" i="1"/>
  <c r="AP11" i="1"/>
  <c r="AQ11" i="1"/>
  <c r="AR11" i="1"/>
  <c r="AS11" i="1"/>
  <c r="AT11" i="1"/>
  <c r="AU11" i="1"/>
  <c r="AW11" i="1"/>
  <c r="U11" i="2"/>
  <c r="C11" i="2"/>
  <c r="U12" i="2"/>
  <c r="C12" i="2"/>
  <c r="U13" i="2"/>
  <c r="C13" i="2"/>
  <c r="U14" i="2"/>
  <c r="C14" i="2"/>
  <c r="U15" i="2"/>
  <c r="C15" i="2"/>
  <c r="U16" i="2"/>
  <c r="C16" i="2"/>
  <c r="U17" i="2"/>
  <c r="C17" i="2"/>
  <c r="U18" i="2"/>
  <c r="C18" i="2"/>
  <c r="U19" i="2"/>
  <c r="C19" i="2"/>
  <c r="U20" i="2"/>
  <c r="C20" i="2"/>
  <c r="U21" i="2"/>
  <c r="C21" i="2"/>
  <c r="U22" i="2"/>
  <c r="C22" i="2"/>
  <c r="U23" i="2"/>
  <c r="C23" i="2"/>
  <c r="U24" i="2"/>
  <c r="C24" i="2"/>
  <c r="U25" i="2"/>
  <c r="C25" i="2"/>
  <c r="U26" i="2"/>
  <c r="C26" i="2"/>
  <c r="U27" i="2"/>
  <c r="C27" i="2"/>
  <c r="U28" i="2"/>
  <c r="C28" i="2"/>
  <c r="U29" i="2"/>
  <c r="C29" i="2"/>
  <c r="U30" i="2"/>
  <c r="C30" i="2"/>
  <c r="U31" i="2"/>
  <c r="C31" i="2"/>
  <c r="U32" i="2"/>
  <c r="C32" i="2"/>
  <c r="U33" i="2"/>
  <c r="C33" i="2"/>
  <c r="U34" i="2"/>
  <c r="C34" i="2"/>
  <c r="U35" i="2"/>
  <c r="C35" i="2"/>
  <c r="U36" i="2"/>
  <c r="C36" i="2"/>
  <c r="U37" i="2"/>
  <c r="C37" i="2"/>
  <c r="U38" i="2"/>
  <c r="C38" i="2"/>
  <c r="U39" i="2"/>
  <c r="C39" i="2"/>
  <c r="U40" i="2"/>
  <c r="C40" i="2"/>
  <c r="U41" i="2"/>
  <c r="C41" i="2"/>
  <c r="U42" i="2"/>
  <c r="C42" i="2"/>
  <c r="U43" i="2"/>
  <c r="C43" i="2"/>
  <c r="U44" i="2"/>
  <c r="C44" i="2"/>
  <c r="U45" i="2"/>
  <c r="C45" i="2"/>
  <c r="U46" i="2"/>
  <c r="C46" i="2"/>
  <c r="U47" i="2"/>
  <c r="C47" i="2"/>
  <c r="U48" i="2"/>
  <c r="C48" i="2"/>
  <c r="U49" i="2"/>
  <c r="C49" i="2"/>
  <c r="U50" i="2"/>
  <c r="C50" i="2"/>
  <c r="U51" i="2"/>
  <c r="C51" i="2"/>
  <c r="U52" i="2"/>
  <c r="C52" i="2"/>
  <c r="U53" i="2"/>
  <c r="C53" i="2"/>
  <c r="U54" i="2"/>
  <c r="C54" i="2"/>
  <c r="U55" i="2"/>
  <c r="C55" i="2"/>
  <c r="U56" i="2"/>
  <c r="C56" i="2"/>
  <c r="U57" i="2"/>
  <c r="C57" i="2"/>
  <c r="U58" i="2"/>
  <c r="C58" i="2"/>
  <c r="U59" i="2"/>
  <c r="C59" i="2"/>
  <c r="U60" i="2"/>
  <c r="C60" i="2"/>
  <c r="U61" i="2"/>
  <c r="C61" i="2"/>
  <c r="U62" i="2"/>
  <c r="C62" i="2"/>
  <c r="U63" i="2"/>
  <c r="C63" i="2"/>
  <c r="U64" i="2"/>
  <c r="C64" i="2"/>
  <c r="U65" i="2"/>
  <c r="C65" i="2"/>
  <c r="U66" i="2"/>
  <c r="C66" i="2"/>
  <c r="U67" i="2"/>
  <c r="C67" i="2"/>
  <c r="U68" i="2"/>
  <c r="C68" i="2"/>
  <c r="U69" i="2"/>
  <c r="C69" i="2"/>
  <c r="U70" i="2"/>
  <c r="C70" i="2"/>
  <c r="U71" i="2"/>
  <c r="C71" i="2"/>
  <c r="U72" i="2"/>
  <c r="C72" i="2"/>
  <c r="U73" i="2"/>
  <c r="C73" i="2"/>
  <c r="U74" i="2"/>
  <c r="C74" i="2"/>
  <c r="U75" i="2"/>
  <c r="C75" i="2"/>
  <c r="U76" i="2"/>
  <c r="C76" i="2"/>
  <c r="U77" i="2"/>
  <c r="C77" i="2"/>
  <c r="U78" i="2"/>
  <c r="C78" i="2"/>
  <c r="U79" i="2"/>
  <c r="C79" i="2"/>
  <c r="U80" i="2"/>
  <c r="C80" i="2"/>
  <c r="U81" i="2"/>
  <c r="C81" i="2"/>
  <c r="U82" i="2"/>
  <c r="C82" i="2"/>
  <c r="U83" i="2"/>
  <c r="C83" i="2"/>
  <c r="U84" i="2"/>
  <c r="C84" i="2"/>
  <c r="U85" i="2"/>
  <c r="C85" i="2"/>
  <c r="U86" i="2"/>
  <c r="C86" i="2"/>
  <c r="U87" i="2"/>
  <c r="C87" i="2"/>
  <c r="U88" i="2"/>
  <c r="C88" i="2"/>
  <c r="U89" i="2"/>
  <c r="C89" i="2"/>
  <c r="U90" i="2"/>
  <c r="C90" i="2"/>
  <c r="U91" i="2"/>
  <c r="C91" i="2"/>
  <c r="U92" i="2"/>
  <c r="C92" i="2"/>
  <c r="U93" i="2"/>
  <c r="C93" i="2"/>
  <c r="U94" i="2"/>
  <c r="C94" i="2"/>
  <c r="U95" i="2"/>
  <c r="C95" i="2"/>
  <c r="U96" i="2"/>
  <c r="C96" i="2"/>
  <c r="U97" i="2"/>
  <c r="C97" i="2"/>
  <c r="U98" i="2"/>
  <c r="C98" i="2"/>
  <c r="U99" i="2"/>
  <c r="C99" i="2"/>
  <c r="U100" i="2"/>
  <c r="C100" i="2"/>
  <c r="U101" i="2"/>
  <c r="C101" i="2"/>
  <c r="U102" i="2"/>
  <c r="C102" i="2"/>
  <c r="U103" i="2"/>
  <c r="C103" i="2"/>
  <c r="U104" i="2"/>
  <c r="C104" i="2"/>
  <c r="U105" i="2"/>
  <c r="C105" i="2"/>
  <c r="U106" i="2"/>
  <c r="C106" i="2"/>
  <c r="U107" i="2"/>
  <c r="C107" i="2"/>
  <c r="U108" i="2"/>
  <c r="C108" i="2"/>
  <c r="U109" i="2"/>
  <c r="C109" i="2"/>
  <c r="U110" i="2"/>
  <c r="C110" i="2"/>
  <c r="U111" i="2"/>
  <c r="C111" i="2"/>
  <c r="U112" i="2"/>
  <c r="C112" i="2"/>
  <c r="U113" i="2"/>
  <c r="C113" i="2"/>
  <c r="U114" i="2"/>
  <c r="C114" i="2"/>
  <c r="U115" i="2"/>
  <c r="C115" i="2"/>
  <c r="U116" i="2"/>
  <c r="C116" i="2"/>
  <c r="U117" i="2"/>
  <c r="C117" i="2"/>
  <c r="U118" i="2"/>
  <c r="C118" i="2"/>
  <c r="U119" i="2"/>
  <c r="C119" i="2"/>
  <c r="U120" i="2"/>
  <c r="C120" i="2"/>
  <c r="U121" i="2"/>
  <c r="C121" i="2"/>
  <c r="U122" i="2"/>
  <c r="C122" i="2"/>
  <c r="U123" i="2"/>
  <c r="C123" i="2"/>
  <c r="U124" i="2"/>
  <c r="C124" i="2"/>
  <c r="U125" i="2"/>
  <c r="C125" i="2"/>
  <c r="U126" i="2"/>
  <c r="C126" i="2"/>
  <c r="U127" i="2"/>
  <c r="C127" i="2"/>
  <c r="U128" i="2"/>
  <c r="C128" i="2"/>
  <c r="U129" i="2"/>
  <c r="C129" i="2"/>
  <c r="U130" i="2"/>
  <c r="C130" i="2"/>
  <c r="U131" i="2"/>
  <c r="C131" i="2"/>
  <c r="U132" i="2"/>
  <c r="C132" i="2"/>
  <c r="U133" i="2"/>
  <c r="C133" i="2"/>
  <c r="U134" i="2"/>
  <c r="C134" i="2"/>
  <c r="U135" i="2"/>
  <c r="C135" i="2"/>
  <c r="U136" i="2"/>
  <c r="C136" i="2"/>
  <c r="U137" i="2"/>
  <c r="C137" i="2"/>
  <c r="U138" i="2"/>
  <c r="C138" i="2"/>
  <c r="U139" i="2"/>
  <c r="C139" i="2"/>
  <c r="U140" i="2"/>
  <c r="C140" i="2"/>
  <c r="U141" i="2"/>
  <c r="C141" i="2"/>
  <c r="U142" i="2"/>
  <c r="C142" i="2"/>
  <c r="U143" i="2"/>
  <c r="C143" i="2"/>
  <c r="U144" i="2"/>
  <c r="C144" i="2"/>
  <c r="U145" i="2"/>
  <c r="C145" i="2"/>
  <c r="U146" i="2"/>
  <c r="C146" i="2"/>
  <c r="U147" i="2"/>
  <c r="C147" i="2"/>
  <c r="U148" i="2"/>
  <c r="C148" i="2"/>
  <c r="U149" i="2"/>
  <c r="C149" i="2"/>
  <c r="U150" i="2"/>
  <c r="C150" i="2"/>
  <c r="U151" i="2"/>
  <c r="C151" i="2"/>
  <c r="U152" i="2"/>
  <c r="C152" i="2"/>
  <c r="U153" i="2"/>
  <c r="C153" i="2"/>
  <c r="U154" i="2"/>
  <c r="C154" i="2"/>
  <c r="U155" i="2"/>
  <c r="C155" i="2"/>
  <c r="U156" i="2"/>
  <c r="C156" i="2"/>
  <c r="U157" i="2"/>
  <c r="C157" i="2"/>
  <c r="U158" i="2"/>
  <c r="C158" i="2"/>
  <c r="U159" i="2"/>
  <c r="C159" i="2"/>
  <c r="U160" i="2"/>
  <c r="C160" i="2"/>
  <c r="U161" i="2"/>
  <c r="C161" i="2"/>
  <c r="U162" i="2"/>
  <c r="C162" i="2"/>
  <c r="U163" i="2"/>
  <c r="C163" i="2"/>
  <c r="U164" i="2"/>
  <c r="C164" i="2"/>
  <c r="U165" i="2"/>
  <c r="C165" i="2"/>
  <c r="U166" i="2"/>
  <c r="C166" i="2"/>
  <c r="U167" i="2"/>
  <c r="C167" i="2"/>
  <c r="U168" i="2"/>
  <c r="C168" i="2"/>
  <c r="U169" i="2"/>
  <c r="C169" i="2"/>
  <c r="U170" i="2"/>
  <c r="C170" i="2"/>
  <c r="U171" i="2"/>
  <c r="C171" i="2"/>
  <c r="U172" i="2"/>
  <c r="C172" i="2"/>
  <c r="U173" i="2"/>
  <c r="C173" i="2"/>
  <c r="U174" i="2"/>
  <c r="C174" i="2"/>
  <c r="U175" i="2"/>
  <c r="C175" i="2"/>
  <c r="U176" i="2"/>
  <c r="C176" i="2"/>
  <c r="U177" i="2"/>
  <c r="C177" i="2"/>
  <c r="U178" i="2"/>
  <c r="C178" i="2"/>
  <c r="U179" i="2"/>
  <c r="C179" i="2"/>
  <c r="U180" i="2"/>
  <c r="C180" i="2"/>
  <c r="U181" i="2"/>
  <c r="C181" i="2"/>
  <c r="U182" i="2"/>
  <c r="C182" i="2"/>
  <c r="U183" i="2"/>
  <c r="C183" i="2"/>
  <c r="U184" i="2"/>
  <c r="C184" i="2"/>
  <c r="U185" i="2"/>
  <c r="C185" i="2"/>
  <c r="U186" i="2"/>
  <c r="C186" i="2"/>
  <c r="U187" i="2"/>
  <c r="C187" i="2"/>
  <c r="U188" i="2"/>
  <c r="C188" i="2"/>
  <c r="U189" i="2"/>
  <c r="C189" i="2"/>
  <c r="U190" i="2"/>
  <c r="C190" i="2"/>
  <c r="U191" i="2"/>
  <c r="C191" i="2"/>
  <c r="U192" i="2"/>
  <c r="C192" i="2"/>
  <c r="U193" i="2"/>
  <c r="C193" i="2"/>
  <c r="U194" i="2"/>
  <c r="C194" i="2"/>
  <c r="U195" i="2"/>
  <c r="C195" i="2"/>
  <c r="U196" i="2"/>
  <c r="C196" i="2"/>
  <c r="U197" i="2"/>
  <c r="C197" i="2"/>
  <c r="U198" i="2"/>
  <c r="C198" i="2"/>
  <c r="U199" i="2"/>
  <c r="C199" i="2"/>
  <c r="BC11" i="1"/>
  <c r="BD11" i="1"/>
  <c r="I12" i="1"/>
  <c r="J12" i="1"/>
  <c r="K12" i="1"/>
  <c r="U12" i="1"/>
  <c r="V12" i="1"/>
  <c r="W12" i="1"/>
  <c r="Z12" i="1"/>
  <c r="AB12" i="1"/>
  <c r="AC12" i="1"/>
  <c r="AD12" i="1"/>
  <c r="AE12" i="1"/>
  <c r="AF12" i="1"/>
  <c r="AG12" i="1"/>
  <c r="AI12" i="1"/>
  <c r="AJ12" i="1"/>
  <c r="AK12" i="1"/>
  <c r="AL12" i="1"/>
  <c r="AM12" i="1"/>
  <c r="AN12" i="1"/>
  <c r="AP12" i="1"/>
  <c r="AQ12" i="1"/>
  <c r="AR12" i="1"/>
  <c r="AS12" i="1"/>
  <c r="AT12" i="1"/>
  <c r="AU12" i="1"/>
  <c r="AW12" i="1"/>
  <c r="BC12" i="1"/>
  <c r="BD12" i="1"/>
  <c r="I13" i="1"/>
  <c r="K13" i="1"/>
  <c r="U13" i="1"/>
  <c r="V13" i="1"/>
  <c r="W13" i="1"/>
  <c r="Z13" i="1"/>
  <c r="AB13" i="1"/>
  <c r="AC13" i="1"/>
  <c r="AD13" i="1"/>
  <c r="AE13" i="1"/>
  <c r="AF13" i="1"/>
  <c r="AG13" i="1"/>
  <c r="AI13" i="1"/>
  <c r="AJ13" i="1"/>
  <c r="AK13" i="1"/>
  <c r="AL13" i="1"/>
  <c r="AM13" i="1"/>
  <c r="AN13" i="1"/>
  <c r="AP13" i="1"/>
  <c r="AQ13" i="1"/>
  <c r="AR13" i="1"/>
  <c r="AS13" i="1"/>
  <c r="AT13" i="1"/>
  <c r="AU13" i="1"/>
  <c r="AW13" i="1"/>
  <c r="BC13" i="1"/>
  <c r="BD13" i="1"/>
  <c r="F14" i="1"/>
  <c r="K14" i="1"/>
  <c r="U14" i="1"/>
  <c r="V14" i="1"/>
  <c r="W14" i="1"/>
  <c r="Z14" i="1"/>
  <c r="AB14" i="1"/>
  <c r="AC14" i="1"/>
  <c r="AD14" i="1"/>
  <c r="AE14" i="1"/>
  <c r="AF14" i="1"/>
  <c r="AG14" i="1"/>
  <c r="AI14" i="1"/>
  <c r="AJ14" i="1"/>
  <c r="AK14" i="1"/>
  <c r="AL14" i="1"/>
  <c r="AM14" i="1"/>
  <c r="AN14" i="1"/>
  <c r="AP14" i="1"/>
  <c r="AQ14" i="1"/>
  <c r="AR14" i="1"/>
  <c r="AS14" i="1"/>
  <c r="AT14" i="1"/>
  <c r="AU14" i="1"/>
  <c r="AW14" i="1"/>
  <c r="BC14" i="1"/>
  <c r="BD14" i="1"/>
  <c r="F15" i="1"/>
  <c r="G15" i="1"/>
  <c r="K15" i="1"/>
  <c r="U15" i="1"/>
  <c r="V15" i="1"/>
  <c r="W15" i="1"/>
  <c r="Z15" i="1"/>
  <c r="AB15" i="1"/>
  <c r="AC15" i="1"/>
  <c r="AD15" i="1"/>
  <c r="AE15" i="1"/>
  <c r="AF15" i="1"/>
  <c r="AG15" i="1"/>
  <c r="AI15" i="1"/>
  <c r="AJ15" i="1"/>
  <c r="AK15" i="1"/>
  <c r="AL15" i="1"/>
  <c r="AM15" i="1"/>
  <c r="AN15" i="1"/>
  <c r="AP15" i="1"/>
  <c r="AQ15" i="1"/>
  <c r="AR15" i="1"/>
  <c r="AS15" i="1"/>
  <c r="AT15" i="1"/>
  <c r="AU15" i="1"/>
  <c r="AW15" i="1"/>
  <c r="BC15" i="1"/>
  <c r="BD15" i="1"/>
  <c r="U16" i="1"/>
  <c r="V16" i="1"/>
  <c r="W16" i="1"/>
  <c r="Z16" i="1"/>
  <c r="AB16" i="1"/>
  <c r="AC16" i="1"/>
  <c r="AD16" i="1"/>
  <c r="AE16" i="1"/>
  <c r="AF16" i="1"/>
  <c r="AG16" i="1"/>
  <c r="AI16" i="1"/>
  <c r="AJ16" i="1"/>
  <c r="AK16" i="1"/>
  <c r="AL16" i="1"/>
  <c r="AM16" i="1"/>
  <c r="AN16" i="1"/>
  <c r="AP16" i="1"/>
  <c r="AQ16" i="1"/>
  <c r="AR16" i="1"/>
  <c r="AS16" i="1"/>
  <c r="AT16" i="1"/>
  <c r="AU16" i="1"/>
  <c r="AW16" i="1"/>
  <c r="BC16" i="1"/>
  <c r="BD16" i="1"/>
  <c r="U17" i="1"/>
  <c r="V17" i="1"/>
  <c r="W17" i="1"/>
  <c r="Z17" i="1"/>
  <c r="AB17" i="1"/>
  <c r="AC17" i="1"/>
  <c r="AD17" i="1"/>
  <c r="AE17" i="1"/>
  <c r="AF17" i="1"/>
  <c r="AG17" i="1"/>
  <c r="AI17" i="1"/>
  <c r="AJ17" i="1"/>
  <c r="AK17" i="1"/>
  <c r="AL17" i="1"/>
  <c r="AM17" i="1"/>
  <c r="AN17" i="1"/>
  <c r="AP17" i="1"/>
  <c r="AQ17" i="1"/>
  <c r="AR17" i="1"/>
  <c r="AS17" i="1"/>
  <c r="AT17" i="1"/>
  <c r="AU17" i="1"/>
  <c r="AW17" i="1"/>
  <c r="BC17" i="1"/>
  <c r="BD17" i="1"/>
  <c r="U18" i="1"/>
  <c r="V18" i="1"/>
  <c r="W18" i="1"/>
  <c r="Z18" i="1"/>
  <c r="AB18" i="1"/>
  <c r="AC18" i="1"/>
  <c r="AD18" i="1"/>
  <c r="AE18" i="1"/>
  <c r="AF18" i="1"/>
  <c r="AG18" i="1"/>
  <c r="AI18" i="1"/>
  <c r="AJ18" i="1"/>
  <c r="AK18" i="1"/>
  <c r="AL18" i="1"/>
  <c r="AM18" i="1"/>
  <c r="AN18" i="1"/>
  <c r="AP18" i="1"/>
  <c r="AQ18" i="1"/>
  <c r="AR18" i="1"/>
  <c r="AS18" i="1"/>
  <c r="AT18" i="1"/>
  <c r="AU18" i="1"/>
  <c r="AW18" i="1"/>
  <c r="BC18" i="1"/>
  <c r="BD18" i="1"/>
  <c r="F25" i="1"/>
  <c r="F24" i="1"/>
  <c r="G26" i="1"/>
  <c r="I23" i="1"/>
  <c r="J23" i="1"/>
  <c r="G28" i="1"/>
  <c r="K23" i="1"/>
  <c r="L23" i="1"/>
  <c r="U23" i="1"/>
  <c r="V23" i="1"/>
  <c r="W23" i="1"/>
  <c r="BC23" i="1"/>
  <c r="BD23" i="1"/>
  <c r="I24" i="1"/>
  <c r="J24" i="1"/>
  <c r="K24" i="1"/>
  <c r="L24" i="1"/>
  <c r="J25" i="1"/>
  <c r="U24" i="1"/>
  <c r="V24" i="1"/>
  <c r="W24" i="1"/>
  <c r="BC24" i="1"/>
  <c r="BD24" i="1"/>
  <c r="I25" i="1"/>
  <c r="K25" i="1"/>
  <c r="L25" i="1"/>
  <c r="U25" i="1"/>
  <c r="V25" i="1"/>
  <c r="W25" i="1"/>
  <c r="BC25" i="1"/>
  <c r="BD25" i="1"/>
  <c r="F26" i="1"/>
  <c r="I26" i="1"/>
  <c r="J26" i="1"/>
  <c r="K26" i="1"/>
  <c r="L26" i="1"/>
  <c r="U26" i="1"/>
  <c r="V26" i="1"/>
  <c r="W26" i="1"/>
  <c r="BC26" i="1"/>
  <c r="BD26" i="1"/>
  <c r="F27" i="1"/>
  <c r="G27" i="1"/>
  <c r="L27" i="1"/>
  <c r="U27" i="1"/>
  <c r="V27" i="1"/>
  <c r="W27" i="1"/>
  <c r="BC27" i="1"/>
  <c r="BD27" i="1"/>
  <c r="L28" i="1"/>
  <c r="U28" i="1"/>
  <c r="V28" i="1"/>
  <c r="W28" i="1"/>
  <c r="BC28" i="1"/>
  <c r="BD28" i="1"/>
  <c r="U29" i="1"/>
  <c r="V29" i="1"/>
  <c r="W29" i="1"/>
  <c r="BC29" i="1"/>
  <c r="BD29" i="1"/>
  <c r="U30" i="1"/>
  <c r="V30" i="1"/>
  <c r="W30" i="1"/>
  <c r="BC30" i="1"/>
  <c r="BD30" i="1"/>
  <c r="BL34" i="1"/>
  <c r="F37" i="1"/>
  <c r="F36" i="1"/>
  <c r="G38" i="1"/>
  <c r="I35" i="1"/>
  <c r="J35" i="1"/>
  <c r="G40" i="1"/>
  <c r="K35" i="1"/>
  <c r="L35" i="1"/>
  <c r="M35" i="1"/>
  <c r="U35" i="1"/>
  <c r="V35" i="1"/>
  <c r="W35" i="1"/>
  <c r="BC35" i="1"/>
  <c r="BD35" i="1"/>
  <c r="BL35" i="1"/>
  <c r="I36" i="1"/>
  <c r="J36" i="1"/>
  <c r="K36" i="1"/>
  <c r="L36" i="1"/>
  <c r="M36" i="1"/>
  <c r="U36" i="1"/>
  <c r="V36" i="1"/>
  <c r="W36" i="1"/>
  <c r="BB36" i="1"/>
  <c r="BC36" i="1"/>
  <c r="BD36" i="1"/>
  <c r="BL36" i="1"/>
  <c r="I37" i="1"/>
  <c r="J37" i="1"/>
  <c r="K37" i="1"/>
  <c r="L37" i="1"/>
  <c r="M37" i="1"/>
  <c r="U37" i="1"/>
  <c r="V37" i="1"/>
  <c r="W37" i="1"/>
  <c r="BB37" i="1"/>
  <c r="BC37" i="1"/>
  <c r="BD37" i="1"/>
  <c r="BL37" i="1"/>
  <c r="F38" i="1"/>
  <c r="I38" i="1"/>
  <c r="J38" i="1"/>
  <c r="K38" i="1"/>
  <c r="L38" i="1"/>
  <c r="M38" i="1"/>
  <c r="U38" i="1"/>
  <c r="V38" i="1"/>
  <c r="W38" i="1"/>
  <c r="BB38" i="1"/>
  <c r="BC38" i="1"/>
  <c r="BD38" i="1"/>
  <c r="BL38" i="1"/>
  <c r="F39" i="1"/>
  <c r="G39" i="1"/>
  <c r="I39" i="1"/>
  <c r="J39" i="1"/>
  <c r="K39" i="1"/>
  <c r="L39" i="1"/>
  <c r="M39" i="1"/>
  <c r="U39" i="1"/>
  <c r="V39" i="1"/>
  <c r="W39" i="1"/>
  <c r="BB39" i="1"/>
  <c r="BC39" i="1"/>
  <c r="BD39" i="1"/>
  <c r="M40" i="1"/>
  <c r="U40" i="1"/>
  <c r="V40" i="1"/>
  <c r="W40" i="1"/>
  <c r="BB40" i="1"/>
  <c r="BC40" i="1"/>
  <c r="BD40" i="1"/>
  <c r="M41" i="1"/>
  <c r="U41" i="1"/>
  <c r="V41" i="1"/>
  <c r="W41" i="1"/>
  <c r="AZ41" i="1"/>
  <c r="BA41" i="1"/>
  <c r="BB41" i="1"/>
  <c r="BC41" i="1"/>
  <c r="BD41" i="1"/>
  <c r="U42" i="1"/>
  <c r="V42" i="1"/>
  <c r="W42" i="1"/>
  <c r="AZ42" i="1"/>
  <c r="BA42" i="1"/>
  <c r="BB42" i="1"/>
  <c r="BC42" i="1"/>
  <c r="BD42" i="1"/>
  <c r="AZ43" i="1"/>
  <c r="BA43" i="1"/>
  <c r="BB43" i="1"/>
  <c r="AZ44" i="1"/>
  <c r="BA44" i="1"/>
  <c r="BB44" i="1"/>
  <c r="AZ45" i="1"/>
  <c r="BA45" i="1"/>
  <c r="BB45" i="1"/>
  <c r="AZ46" i="1"/>
  <c r="BA46" i="1"/>
  <c r="BB46" i="1"/>
  <c r="F49" i="1"/>
  <c r="F48" i="1"/>
  <c r="G50" i="1"/>
  <c r="G52" i="1"/>
  <c r="I47" i="1"/>
  <c r="J47" i="1"/>
  <c r="K47" i="1"/>
  <c r="L47" i="1"/>
  <c r="M47" i="1"/>
  <c r="N47" i="1"/>
  <c r="U47" i="1"/>
  <c r="V47" i="1"/>
  <c r="W47" i="1"/>
  <c r="AZ47" i="1"/>
  <c r="BA47" i="1"/>
  <c r="BB47" i="1"/>
  <c r="BC47" i="1"/>
  <c r="BD47" i="1"/>
  <c r="I48" i="1"/>
  <c r="J48" i="1"/>
  <c r="K48" i="1"/>
  <c r="L48" i="1"/>
  <c r="M48" i="1"/>
  <c r="N48" i="1"/>
  <c r="U48" i="1"/>
  <c r="V48" i="1"/>
  <c r="W48" i="1"/>
  <c r="AZ48" i="1"/>
  <c r="BA48" i="1"/>
  <c r="BB48" i="1"/>
  <c r="BC48" i="1"/>
  <c r="BD48" i="1"/>
  <c r="I49" i="1"/>
  <c r="J49" i="1"/>
  <c r="K49" i="1"/>
  <c r="L49" i="1"/>
  <c r="M49" i="1"/>
  <c r="N49" i="1"/>
  <c r="U49" i="1"/>
  <c r="V49" i="1"/>
  <c r="W49" i="1"/>
  <c r="AZ49" i="1"/>
  <c r="BA49" i="1"/>
  <c r="BB49" i="1"/>
  <c r="BC49" i="1"/>
  <c r="BD49" i="1"/>
  <c r="F50" i="1"/>
  <c r="I50" i="1"/>
  <c r="J50" i="1"/>
  <c r="K50" i="1"/>
  <c r="L50" i="1"/>
  <c r="M50" i="1"/>
  <c r="N50" i="1"/>
  <c r="U50" i="1"/>
  <c r="V50" i="1"/>
  <c r="W50" i="1"/>
  <c r="AZ50" i="1"/>
  <c r="BA50" i="1"/>
  <c r="BB50" i="1"/>
  <c r="BC50" i="1"/>
  <c r="BD50" i="1"/>
  <c r="F51" i="1"/>
  <c r="G51" i="1"/>
  <c r="I51" i="1"/>
  <c r="J51" i="1"/>
  <c r="K51" i="1"/>
  <c r="L51" i="1"/>
  <c r="M51" i="1"/>
  <c r="N51" i="1"/>
  <c r="I52" i="1"/>
  <c r="J52" i="1"/>
  <c r="K52" i="1"/>
  <c r="L52" i="1"/>
  <c r="M52" i="1"/>
  <c r="N52" i="1"/>
  <c r="U51" i="1"/>
  <c r="V51" i="1"/>
  <c r="W51" i="1"/>
  <c r="AZ51" i="1"/>
  <c r="BA51" i="1"/>
  <c r="BB51" i="1"/>
  <c r="BC51" i="1"/>
  <c r="BD51" i="1"/>
  <c r="U52" i="1"/>
  <c r="V52" i="1"/>
  <c r="W52" i="1"/>
  <c r="AZ52" i="1"/>
  <c r="BA52" i="1"/>
  <c r="BB52" i="1"/>
  <c r="BC52" i="1"/>
  <c r="BD52" i="1"/>
  <c r="N53" i="1"/>
  <c r="U53" i="1"/>
  <c r="V53" i="1"/>
  <c r="W53" i="1"/>
  <c r="AZ53" i="1"/>
  <c r="BA53" i="1"/>
  <c r="BB53" i="1"/>
  <c r="BC53" i="1"/>
  <c r="BD53" i="1"/>
  <c r="N54" i="1"/>
  <c r="U54" i="1"/>
  <c r="V54" i="1"/>
  <c r="W54" i="1"/>
  <c r="AZ54" i="1"/>
  <c r="BA54" i="1"/>
  <c r="BB54" i="1"/>
  <c r="BC54" i="1"/>
  <c r="BD54" i="1"/>
  <c r="AZ55" i="1"/>
  <c r="BA55" i="1"/>
  <c r="BB55" i="1"/>
  <c r="AZ56" i="1"/>
  <c r="BA56" i="1"/>
  <c r="BB56" i="1"/>
  <c r="AZ57" i="1"/>
  <c r="BA57" i="1"/>
  <c r="BB57" i="1"/>
  <c r="AZ58" i="1"/>
  <c r="BA58" i="1"/>
  <c r="BB58" i="1"/>
  <c r="F61" i="1"/>
  <c r="F60" i="1"/>
  <c r="G62" i="1"/>
  <c r="I59" i="1"/>
  <c r="J59" i="1"/>
  <c r="K59" i="1"/>
  <c r="L59" i="1"/>
  <c r="M59" i="1"/>
  <c r="G64" i="1"/>
  <c r="N59" i="1"/>
  <c r="O59" i="1"/>
  <c r="U59" i="1"/>
  <c r="V59" i="1"/>
  <c r="W59" i="1"/>
  <c r="AZ59" i="1"/>
  <c r="BA59" i="1"/>
  <c r="BB59" i="1"/>
  <c r="BC59" i="1"/>
  <c r="BD59" i="1"/>
  <c r="I60" i="1"/>
  <c r="J60" i="1"/>
  <c r="K60" i="1"/>
  <c r="L60" i="1"/>
  <c r="M60" i="1"/>
  <c r="N60" i="1"/>
  <c r="O60" i="1"/>
  <c r="K65" i="1"/>
  <c r="U60" i="1"/>
  <c r="V60" i="1"/>
  <c r="W60" i="1"/>
  <c r="AZ60" i="1"/>
  <c r="BA60" i="1"/>
  <c r="BB60" i="1"/>
  <c r="BC60" i="1"/>
  <c r="BD60" i="1"/>
  <c r="I61" i="1"/>
  <c r="J61" i="1"/>
  <c r="K61" i="1"/>
  <c r="L61" i="1"/>
  <c r="M61" i="1"/>
  <c r="N61" i="1"/>
  <c r="O61" i="1"/>
  <c r="U61" i="1"/>
  <c r="V61" i="1"/>
  <c r="W61" i="1"/>
  <c r="AZ61" i="1"/>
  <c r="BA61" i="1"/>
  <c r="BB61" i="1"/>
  <c r="BC61" i="1"/>
  <c r="BD61" i="1"/>
  <c r="F62" i="1"/>
  <c r="I62" i="1"/>
  <c r="J62" i="1"/>
  <c r="K62" i="1"/>
  <c r="L62" i="1"/>
  <c r="M62" i="1"/>
  <c r="N62" i="1"/>
  <c r="O62" i="1"/>
  <c r="U62" i="1"/>
  <c r="V62" i="1"/>
  <c r="W62" i="1"/>
  <c r="AZ62" i="1"/>
  <c r="BA62" i="1"/>
  <c r="BB62" i="1"/>
  <c r="BC62" i="1"/>
  <c r="BD62" i="1"/>
  <c r="M64" i="1"/>
  <c r="F63" i="1"/>
  <c r="G63" i="1"/>
  <c r="I63" i="1"/>
  <c r="J63" i="1"/>
  <c r="K63" i="1"/>
  <c r="L63" i="1"/>
  <c r="M63" i="1"/>
  <c r="N63" i="1"/>
  <c r="O63" i="1"/>
  <c r="I64" i="1"/>
  <c r="J64" i="1"/>
  <c r="K64" i="1"/>
  <c r="L64" i="1"/>
  <c r="N64" i="1"/>
  <c r="O64" i="1"/>
  <c r="I65" i="1"/>
  <c r="J65" i="1"/>
  <c r="L65" i="1"/>
  <c r="M65" i="1"/>
  <c r="N65" i="1"/>
  <c r="O65" i="1"/>
  <c r="U63" i="1"/>
  <c r="V63" i="1"/>
  <c r="W63" i="1"/>
  <c r="AZ63" i="1"/>
  <c r="BA63" i="1"/>
  <c r="BB63" i="1"/>
  <c r="BC63" i="1"/>
  <c r="BD63" i="1"/>
  <c r="U64" i="1"/>
  <c r="V64" i="1"/>
  <c r="W64" i="1"/>
  <c r="AZ64" i="1"/>
  <c r="BA64" i="1"/>
  <c r="BB64" i="1"/>
  <c r="BC64" i="1"/>
  <c r="BD64" i="1"/>
  <c r="U65" i="1"/>
  <c r="V65" i="1"/>
  <c r="W65" i="1"/>
  <c r="AZ65" i="1"/>
  <c r="BA65" i="1"/>
  <c r="BB65" i="1"/>
  <c r="BC65" i="1"/>
  <c r="BD65" i="1"/>
  <c r="O66" i="1"/>
  <c r="U66" i="1"/>
  <c r="V66" i="1"/>
  <c r="W66" i="1"/>
  <c r="AZ66" i="1"/>
  <c r="BA66" i="1"/>
  <c r="BB66" i="1"/>
  <c r="BC66" i="1"/>
  <c r="BD66" i="1"/>
  <c r="O67" i="1"/>
  <c r="F73" i="1"/>
  <c r="F72" i="1"/>
  <c r="G74" i="1"/>
  <c r="I71" i="1"/>
  <c r="J71" i="1"/>
  <c r="K71" i="1"/>
  <c r="L71" i="1"/>
  <c r="G76" i="1"/>
  <c r="M71" i="1"/>
  <c r="N71" i="1"/>
  <c r="O71" i="1"/>
  <c r="P71" i="1"/>
  <c r="U71" i="1"/>
  <c r="V71" i="1"/>
  <c r="W71" i="1"/>
  <c r="BC71" i="1"/>
  <c r="BD71" i="1"/>
  <c r="I72" i="1"/>
  <c r="J72" i="1"/>
  <c r="K72" i="1"/>
  <c r="L72" i="1"/>
  <c r="M72" i="1"/>
  <c r="N72" i="1"/>
  <c r="O72" i="1"/>
  <c r="P72" i="1"/>
  <c r="L75" i="1"/>
  <c r="U72" i="1"/>
  <c r="V72" i="1"/>
  <c r="W72" i="1"/>
  <c r="BC72" i="1"/>
  <c r="BD72" i="1"/>
  <c r="I73" i="1"/>
  <c r="J73" i="1"/>
  <c r="K73" i="1"/>
  <c r="L73" i="1"/>
  <c r="M73" i="1"/>
  <c r="N73" i="1"/>
  <c r="O73" i="1"/>
  <c r="P73" i="1"/>
  <c r="U73" i="1"/>
  <c r="V73" i="1"/>
  <c r="W73" i="1"/>
  <c r="BC73" i="1"/>
  <c r="BD73" i="1"/>
  <c r="F74" i="1"/>
  <c r="I74" i="1"/>
  <c r="J74" i="1"/>
  <c r="K74" i="1"/>
  <c r="L74" i="1"/>
  <c r="M74" i="1"/>
  <c r="N74" i="1"/>
  <c r="O74" i="1"/>
  <c r="P74" i="1"/>
  <c r="U74" i="1"/>
  <c r="V74" i="1"/>
  <c r="W74" i="1"/>
  <c r="BC74" i="1"/>
  <c r="BD74" i="1"/>
  <c r="F75" i="1"/>
  <c r="G75" i="1"/>
  <c r="I75" i="1"/>
  <c r="J75" i="1"/>
  <c r="K75" i="1"/>
  <c r="M75" i="1"/>
  <c r="N75" i="1"/>
  <c r="O75" i="1"/>
  <c r="P75" i="1"/>
  <c r="I76" i="1"/>
  <c r="J76" i="1"/>
  <c r="K76" i="1"/>
  <c r="L76" i="1"/>
  <c r="M76" i="1"/>
  <c r="N76" i="1"/>
  <c r="O76" i="1"/>
  <c r="P76" i="1"/>
  <c r="I77" i="1"/>
  <c r="J77" i="1"/>
  <c r="K77" i="1"/>
  <c r="L77" i="1"/>
  <c r="M77" i="1"/>
  <c r="N77" i="1"/>
  <c r="O77" i="1"/>
  <c r="P77" i="1"/>
  <c r="I78" i="1"/>
  <c r="J78" i="1"/>
  <c r="K78" i="1"/>
  <c r="L78" i="1"/>
  <c r="M78" i="1"/>
  <c r="N78" i="1"/>
  <c r="O78" i="1"/>
  <c r="P78" i="1"/>
  <c r="U75" i="1"/>
  <c r="V75" i="1"/>
  <c r="W75" i="1"/>
  <c r="BC75" i="1"/>
  <c r="BD75" i="1"/>
  <c r="U76" i="1"/>
  <c r="V76" i="1"/>
  <c r="W76" i="1"/>
  <c r="BC76" i="1"/>
  <c r="BD76" i="1"/>
  <c r="U77" i="1"/>
  <c r="V77" i="1"/>
  <c r="W77" i="1"/>
  <c r="BC77" i="1"/>
  <c r="BD77" i="1"/>
  <c r="U78" i="1"/>
  <c r="V78" i="1"/>
  <c r="W78" i="1"/>
  <c r="BC78" i="1"/>
  <c r="BD78" i="1"/>
  <c r="P79" i="1"/>
  <c r="P80" i="1"/>
  <c r="F86" i="1"/>
  <c r="F85" i="1"/>
  <c r="G87" i="1"/>
  <c r="I84" i="1"/>
  <c r="G89" i="1"/>
  <c r="J84" i="1"/>
  <c r="K84" i="1"/>
  <c r="L84" i="1"/>
  <c r="M84" i="1"/>
  <c r="N84" i="1"/>
  <c r="O84" i="1"/>
  <c r="P84" i="1"/>
  <c r="Q84" i="1"/>
  <c r="M90" i="1"/>
  <c r="U84" i="1"/>
  <c r="V84" i="1"/>
  <c r="W84" i="1"/>
  <c r="BC84" i="1"/>
  <c r="BD84" i="1"/>
  <c r="I85" i="1"/>
  <c r="J85" i="1"/>
  <c r="K85" i="1"/>
  <c r="L85" i="1"/>
  <c r="M85" i="1"/>
  <c r="N85" i="1"/>
  <c r="O85" i="1"/>
  <c r="P85" i="1"/>
  <c r="Q85" i="1"/>
  <c r="M92" i="1"/>
  <c r="U85" i="1"/>
  <c r="V85" i="1"/>
  <c r="W85" i="1"/>
  <c r="BC85" i="1"/>
  <c r="BD85" i="1"/>
  <c r="I86" i="1"/>
  <c r="J86" i="1"/>
  <c r="K86" i="1"/>
  <c r="L86" i="1"/>
  <c r="M86" i="1"/>
  <c r="N86" i="1"/>
  <c r="O86" i="1"/>
  <c r="P86" i="1"/>
  <c r="Q86" i="1"/>
  <c r="U86" i="1"/>
  <c r="V86" i="1"/>
  <c r="W86" i="1"/>
  <c r="BC86" i="1"/>
  <c r="BD86" i="1"/>
  <c r="F87" i="1"/>
  <c r="I87" i="1"/>
  <c r="J87" i="1"/>
  <c r="K87" i="1"/>
  <c r="L87" i="1"/>
  <c r="M87" i="1"/>
  <c r="N87" i="1"/>
  <c r="O87" i="1"/>
  <c r="P87" i="1"/>
  <c r="Q87" i="1"/>
  <c r="U87" i="1"/>
  <c r="V87" i="1"/>
  <c r="W87" i="1"/>
  <c r="BC87" i="1"/>
  <c r="BD87" i="1"/>
  <c r="F88" i="1"/>
  <c r="G88" i="1"/>
  <c r="I88" i="1"/>
  <c r="J88" i="1"/>
  <c r="K88" i="1"/>
  <c r="L88" i="1"/>
  <c r="M88" i="1"/>
  <c r="N88" i="1"/>
  <c r="O88" i="1"/>
  <c r="P88" i="1"/>
  <c r="Q88" i="1"/>
  <c r="I89" i="1"/>
  <c r="J89" i="1"/>
  <c r="K89" i="1"/>
  <c r="L89" i="1"/>
  <c r="M89" i="1"/>
  <c r="N89" i="1"/>
  <c r="O89" i="1"/>
  <c r="P89" i="1"/>
  <c r="Q89" i="1"/>
  <c r="I90" i="1"/>
  <c r="J90" i="1"/>
  <c r="K90" i="1"/>
  <c r="L90" i="1"/>
  <c r="N90" i="1"/>
  <c r="O90" i="1"/>
  <c r="P90" i="1"/>
  <c r="Q90" i="1"/>
  <c r="I91" i="1"/>
  <c r="J91" i="1"/>
  <c r="K91" i="1"/>
  <c r="L91" i="1"/>
  <c r="M91" i="1"/>
  <c r="N91" i="1"/>
  <c r="O91" i="1"/>
  <c r="P91" i="1"/>
  <c r="Q91" i="1"/>
  <c r="I92" i="1"/>
  <c r="J92" i="1"/>
  <c r="K92" i="1"/>
  <c r="L92" i="1"/>
  <c r="N92" i="1"/>
  <c r="O92" i="1"/>
  <c r="P92" i="1"/>
  <c r="Q92" i="1"/>
  <c r="U88" i="1"/>
  <c r="V88" i="1"/>
  <c r="W88" i="1"/>
  <c r="BC88" i="1"/>
  <c r="BD88" i="1"/>
  <c r="U89" i="1"/>
  <c r="V89" i="1"/>
  <c r="W89" i="1"/>
  <c r="BC89" i="1"/>
  <c r="BD89" i="1"/>
  <c r="U90" i="1"/>
  <c r="V90" i="1"/>
  <c r="W90" i="1"/>
  <c r="BC90" i="1"/>
  <c r="BD90" i="1"/>
  <c r="U91" i="1"/>
  <c r="V91" i="1"/>
  <c r="W91" i="1"/>
  <c r="BC91" i="1"/>
  <c r="BD91" i="1"/>
  <c r="Q93" i="1"/>
  <c r="Q94" i="1"/>
  <c r="V98" i="1"/>
  <c r="W98" i="1"/>
  <c r="F99" i="1"/>
  <c r="V99" i="1"/>
  <c r="W99" i="1"/>
  <c r="F100" i="1"/>
  <c r="U100" i="1"/>
  <c r="V100" i="1"/>
  <c r="W100" i="1"/>
  <c r="F101" i="1"/>
  <c r="G101" i="1"/>
  <c r="U101" i="1"/>
  <c r="V101" i="1"/>
  <c r="W101" i="1"/>
  <c r="U102" i="1"/>
  <c r="V102" i="1"/>
  <c r="W102" i="1"/>
  <c r="G103" i="1"/>
  <c r="U103" i="1"/>
  <c r="V103" i="1"/>
  <c r="W103" i="1"/>
  <c r="U104" i="1"/>
  <c r="V104" i="1"/>
  <c r="W104" i="1"/>
  <c r="U105" i="1"/>
  <c r="V105" i="1"/>
  <c r="W105" i="1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22" i="2"/>
  <c r="T22" i="2"/>
  <c r="S23" i="2"/>
  <c r="T23" i="2"/>
  <c r="S24" i="2"/>
  <c r="T24" i="2"/>
  <c r="S25" i="2"/>
  <c r="T25" i="2"/>
  <c r="S26" i="2"/>
  <c r="T26" i="2"/>
  <c r="S27" i="2"/>
  <c r="T27" i="2"/>
  <c r="S28" i="2"/>
  <c r="T28" i="2"/>
  <c r="S29" i="2"/>
  <c r="T29" i="2"/>
  <c r="S30" i="2"/>
  <c r="T30" i="2"/>
  <c r="S31" i="2"/>
  <c r="T31" i="2"/>
  <c r="S32" i="2"/>
  <c r="T32" i="2"/>
  <c r="S33" i="2"/>
  <c r="T33" i="2"/>
  <c r="S34" i="2"/>
  <c r="T34" i="2"/>
  <c r="S35" i="2"/>
  <c r="T35" i="2"/>
  <c r="S36" i="2"/>
  <c r="T36" i="2"/>
  <c r="S37" i="2"/>
  <c r="T37" i="2"/>
  <c r="S38" i="2"/>
  <c r="T38" i="2"/>
  <c r="S39" i="2"/>
  <c r="T39" i="2"/>
  <c r="S40" i="2"/>
  <c r="T40" i="2"/>
  <c r="S41" i="2"/>
  <c r="T41" i="2"/>
  <c r="S42" i="2"/>
  <c r="T42" i="2"/>
  <c r="S43" i="2"/>
  <c r="T43" i="2"/>
  <c r="S44" i="2"/>
  <c r="T44" i="2"/>
  <c r="S45" i="2"/>
  <c r="T45" i="2"/>
  <c r="S46" i="2"/>
  <c r="T46" i="2"/>
  <c r="S47" i="2"/>
  <c r="T47" i="2"/>
  <c r="S48" i="2"/>
  <c r="T48" i="2"/>
  <c r="S49" i="2"/>
  <c r="T49" i="2"/>
  <c r="S50" i="2"/>
  <c r="T50" i="2"/>
  <c r="S51" i="2"/>
  <c r="T51" i="2"/>
  <c r="S52" i="2"/>
  <c r="T52" i="2"/>
  <c r="S53" i="2"/>
  <c r="T53" i="2"/>
  <c r="S54" i="2"/>
  <c r="T54" i="2"/>
  <c r="S55" i="2"/>
  <c r="T55" i="2"/>
  <c r="S56" i="2"/>
  <c r="T56" i="2"/>
  <c r="S57" i="2"/>
  <c r="T57" i="2"/>
  <c r="S58" i="2"/>
  <c r="T58" i="2"/>
  <c r="S59" i="2"/>
  <c r="T59" i="2"/>
  <c r="S60" i="2"/>
  <c r="T60" i="2"/>
  <c r="S61" i="2"/>
  <c r="T61" i="2"/>
  <c r="S62" i="2"/>
  <c r="T62" i="2"/>
  <c r="S63" i="2"/>
  <c r="T63" i="2"/>
  <c r="S64" i="2"/>
  <c r="T64" i="2"/>
  <c r="S65" i="2"/>
  <c r="T65" i="2"/>
  <c r="S66" i="2"/>
  <c r="T66" i="2"/>
  <c r="S67" i="2"/>
  <c r="T67" i="2"/>
  <c r="S68" i="2"/>
  <c r="T68" i="2"/>
  <c r="S69" i="2"/>
  <c r="T69" i="2"/>
  <c r="S70" i="2"/>
  <c r="T70" i="2"/>
  <c r="S71" i="2"/>
  <c r="T71" i="2"/>
  <c r="S72" i="2"/>
  <c r="T72" i="2"/>
  <c r="S73" i="2"/>
  <c r="T73" i="2"/>
  <c r="S74" i="2"/>
  <c r="T74" i="2"/>
  <c r="S75" i="2"/>
  <c r="T75" i="2"/>
  <c r="S76" i="2"/>
  <c r="T76" i="2"/>
  <c r="S77" i="2"/>
  <c r="T77" i="2"/>
  <c r="S78" i="2"/>
  <c r="T78" i="2"/>
  <c r="S79" i="2"/>
  <c r="T79" i="2"/>
  <c r="S80" i="2"/>
  <c r="T80" i="2"/>
  <c r="S81" i="2"/>
  <c r="T81" i="2"/>
  <c r="S82" i="2"/>
  <c r="T82" i="2"/>
  <c r="S83" i="2"/>
  <c r="T83" i="2"/>
  <c r="S84" i="2"/>
  <c r="T84" i="2"/>
  <c r="S85" i="2"/>
  <c r="T85" i="2"/>
  <c r="S86" i="2"/>
  <c r="T86" i="2"/>
  <c r="S87" i="2"/>
  <c r="T87" i="2"/>
  <c r="S88" i="2"/>
  <c r="T88" i="2"/>
  <c r="S89" i="2"/>
  <c r="T89" i="2"/>
  <c r="S90" i="2"/>
  <c r="T90" i="2"/>
  <c r="S91" i="2"/>
  <c r="T91" i="2"/>
  <c r="S92" i="2"/>
  <c r="T92" i="2"/>
  <c r="S93" i="2"/>
  <c r="T93" i="2"/>
  <c r="S94" i="2"/>
  <c r="T94" i="2"/>
  <c r="S95" i="2"/>
  <c r="T95" i="2"/>
  <c r="S96" i="2"/>
  <c r="T96" i="2"/>
  <c r="S97" i="2"/>
  <c r="T97" i="2"/>
  <c r="S98" i="2"/>
  <c r="T98" i="2"/>
  <c r="S99" i="2"/>
  <c r="T99" i="2"/>
  <c r="S100" i="2"/>
  <c r="T100" i="2"/>
  <c r="S101" i="2"/>
  <c r="T101" i="2"/>
  <c r="S102" i="2"/>
  <c r="T102" i="2"/>
  <c r="S103" i="2"/>
  <c r="T103" i="2"/>
  <c r="S104" i="2"/>
  <c r="T104" i="2"/>
  <c r="S105" i="2"/>
  <c r="T105" i="2"/>
  <c r="S106" i="2"/>
  <c r="T106" i="2"/>
  <c r="S107" i="2"/>
  <c r="T107" i="2"/>
  <c r="S108" i="2"/>
  <c r="T108" i="2"/>
  <c r="S109" i="2"/>
  <c r="T109" i="2"/>
  <c r="S110" i="2"/>
  <c r="T110" i="2"/>
  <c r="S111" i="2"/>
  <c r="T111" i="2"/>
  <c r="S112" i="2"/>
  <c r="T112" i="2"/>
  <c r="S113" i="2"/>
  <c r="T113" i="2"/>
  <c r="S114" i="2"/>
  <c r="T114" i="2"/>
  <c r="S115" i="2"/>
  <c r="T115" i="2"/>
  <c r="S116" i="2"/>
  <c r="T116" i="2"/>
  <c r="S117" i="2"/>
  <c r="T117" i="2"/>
  <c r="S118" i="2"/>
  <c r="T118" i="2"/>
  <c r="S119" i="2"/>
  <c r="T119" i="2"/>
  <c r="S120" i="2"/>
  <c r="T120" i="2"/>
  <c r="S121" i="2"/>
  <c r="T121" i="2"/>
  <c r="S122" i="2"/>
  <c r="T122" i="2"/>
  <c r="S123" i="2"/>
  <c r="T123" i="2"/>
  <c r="S124" i="2"/>
  <c r="T124" i="2"/>
  <c r="S125" i="2"/>
  <c r="T125" i="2"/>
  <c r="S126" i="2"/>
  <c r="T126" i="2"/>
  <c r="S127" i="2"/>
  <c r="T127" i="2"/>
  <c r="S128" i="2"/>
  <c r="T128" i="2"/>
  <c r="S129" i="2"/>
  <c r="T129" i="2"/>
  <c r="S130" i="2"/>
  <c r="T130" i="2"/>
  <c r="S131" i="2"/>
  <c r="T131" i="2"/>
  <c r="S132" i="2"/>
  <c r="T132" i="2"/>
  <c r="S133" i="2"/>
  <c r="T133" i="2"/>
  <c r="S134" i="2"/>
  <c r="T134" i="2"/>
  <c r="S135" i="2"/>
  <c r="T135" i="2"/>
  <c r="S136" i="2"/>
  <c r="T136" i="2"/>
  <c r="S137" i="2"/>
  <c r="T137" i="2"/>
  <c r="S138" i="2"/>
  <c r="T138" i="2"/>
  <c r="S139" i="2"/>
  <c r="T139" i="2"/>
  <c r="S140" i="2"/>
  <c r="T140" i="2"/>
  <c r="S141" i="2"/>
  <c r="T141" i="2"/>
  <c r="S142" i="2"/>
  <c r="T142" i="2"/>
  <c r="S143" i="2"/>
  <c r="T143" i="2"/>
  <c r="S144" i="2"/>
  <c r="T144" i="2"/>
  <c r="S145" i="2"/>
  <c r="T145" i="2"/>
  <c r="S146" i="2"/>
  <c r="T146" i="2"/>
  <c r="S147" i="2"/>
  <c r="T147" i="2"/>
  <c r="S148" i="2"/>
  <c r="T148" i="2"/>
  <c r="S149" i="2"/>
  <c r="T149" i="2"/>
  <c r="S150" i="2"/>
  <c r="T150" i="2"/>
  <c r="S151" i="2"/>
  <c r="T151" i="2"/>
  <c r="S152" i="2"/>
  <c r="T152" i="2"/>
  <c r="S153" i="2"/>
  <c r="T153" i="2"/>
  <c r="S154" i="2"/>
  <c r="T154" i="2"/>
  <c r="S155" i="2"/>
  <c r="T155" i="2"/>
  <c r="S156" i="2"/>
  <c r="T156" i="2"/>
  <c r="S157" i="2"/>
  <c r="T157" i="2"/>
  <c r="S158" i="2"/>
  <c r="T158" i="2"/>
  <c r="S159" i="2"/>
  <c r="T159" i="2"/>
  <c r="S160" i="2"/>
  <c r="T160" i="2"/>
  <c r="S161" i="2"/>
  <c r="T161" i="2"/>
  <c r="S162" i="2"/>
  <c r="T162" i="2"/>
  <c r="S163" i="2"/>
  <c r="T163" i="2"/>
  <c r="S164" i="2"/>
  <c r="T164" i="2"/>
  <c r="S165" i="2"/>
  <c r="T165" i="2"/>
  <c r="S166" i="2"/>
  <c r="T166" i="2"/>
  <c r="S167" i="2"/>
  <c r="T167" i="2"/>
  <c r="S168" i="2"/>
  <c r="T168" i="2"/>
  <c r="S169" i="2"/>
  <c r="T169" i="2"/>
  <c r="S170" i="2"/>
  <c r="T170" i="2"/>
  <c r="S171" i="2"/>
  <c r="T171" i="2"/>
  <c r="S172" i="2"/>
  <c r="T172" i="2"/>
  <c r="S173" i="2"/>
  <c r="T173" i="2"/>
  <c r="S174" i="2"/>
  <c r="T174" i="2"/>
  <c r="S175" i="2"/>
  <c r="T175" i="2"/>
  <c r="S176" i="2"/>
  <c r="T176" i="2"/>
  <c r="S177" i="2"/>
  <c r="T177" i="2"/>
  <c r="S178" i="2"/>
  <c r="T178" i="2"/>
  <c r="S179" i="2"/>
  <c r="T179" i="2"/>
  <c r="S180" i="2"/>
  <c r="T180" i="2"/>
  <c r="S181" i="2"/>
  <c r="T181" i="2"/>
  <c r="S182" i="2"/>
  <c r="T182" i="2"/>
  <c r="S183" i="2"/>
  <c r="T183" i="2"/>
  <c r="S184" i="2"/>
  <c r="T184" i="2"/>
  <c r="S185" i="2"/>
  <c r="T185" i="2"/>
  <c r="S186" i="2"/>
  <c r="T186" i="2"/>
  <c r="S187" i="2"/>
  <c r="T187" i="2"/>
  <c r="S188" i="2"/>
  <c r="T188" i="2"/>
  <c r="S189" i="2"/>
  <c r="T189" i="2"/>
  <c r="S190" i="2"/>
  <c r="T190" i="2"/>
  <c r="S191" i="2"/>
  <c r="T191" i="2"/>
  <c r="S192" i="2"/>
  <c r="T192" i="2"/>
  <c r="S193" i="2"/>
  <c r="T193" i="2"/>
  <c r="S194" i="2"/>
  <c r="T194" i="2"/>
  <c r="S195" i="2"/>
  <c r="T195" i="2"/>
  <c r="S196" i="2"/>
  <c r="T196" i="2"/>
  <c r="S197" i="2"/>
  <c r="T197" i="2"/>
  <c r="S198" i="2"/>
  <c r="T198" i="2"/>
  <c r="S199" i="2"/>
  <c r="T19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Gregor Sabass</author>
  </authors>
  <commentList>
    <comment ref="I6" authorId="0" shapeId="0" xr:uid="{00000000-0006-0000-0000-000001000000}">
      <text>
        <r>
          <rPr>
            <b/>
            <sz val="9"/>
            <color indexed="81"/>
            <rFont val="Verdana"/>
            <family val="2"/>
          </rPr>
          <t xml:space="preserve">
Enter your numerical value here.</t>
        </r>
        <r>
          <rPr>
            <sz val="9"/>
            <color indexed="81"/>
            <rFont val="Verdana"/>
            <family val="2"/>
          </rPr>
          <t xml:space="preserve">
</t>
        </r>
      </text>
    </comment>
    <comment ref="I7" authorId="0" shapeId="0" xr:uid="{00000000-0006-0000-0000-000002000000}">
      <text>
        <r>
          <rPr>
            <b/>
            <sz val="9"/>
            <color indexed="81"/>
            <rFont val="Verdana"/>
            <family val="2"/>
          </rPr>
          <t xml:space="preserve">
Handle </t>
        </r>
        <r>
          <rPr>
            <sz val="9"/>
            <color indexed="81"/>
            <rFont val="Verdana"/>
            <family val="2"/>
          </rPr>
          <t>= determines the numerical sequence between two following numbers in any given square</t>
        </r>
        <r>
          <rPr>
            <b/>
            <sz val="9"/>
            <color indexed="81"/>
            <rFont val="Verdana"/>
            <family val="2"/>
          </rPr>
          <t xml:space="preserve">
Elemental Ratios:
</t>
        </r>
        <r>
          <rPr>
            <sz val="9"/>
            <color indexed="81"/>
            <rFont val="Verdana"/>
            <family val="2"/>
          </rPr>
          <t xml:space="preserve">- Fire = 1
- Air = 2
- Water = 3
- Earth = 4
- Fire + Earth = 5
- Air + Water = 5
- Air + Earth = 6
- Fire + Air + Water = 6
- Water + Earth = 7
- Fire + Air + Earth = 7
- Fire + Water + Earth = 8
- Air + Water + Earth = 9
- Fire + Air + Water + Earth = 10
</t>
        </r>
      </text>
    </comment>
  </commentList>
</comments>
</file>

<file path=xl/sharedStrings.xml><?xml version="1.0" encoding="utf-8"?>
<sst xmlns="http://schemas.openxmlformats.org/spreadsheetml/2006/main" count="890" uniqueCount="342">
  <si>
    <t>Remainder</t>
    <phoneticPr fontId="1" type="noConversion"/>
  </si>
  <si>
    <t>Amendment</t>
    <phoneticPr fontId="1" type="noConversion"/>
  </si>
  <si>
    <t>Door</t>
    <phoneticPr fontId="1" type="noConversion"/>
  </si>
  <si>
    <t>Hinge</t>
    <phoneticPr fontId="1" type="noConversion"/>
  </si>
  <si>
    <t>Key</t>
    <phoneticPr fontId="1" type="noConversion"/>
  </si>
  <si>
    <t>Lock</t>
    <phoneticPr fontId="1" type="noConversion"/>
  </si>
  <si>
    <t>O</t>
    <phoneticPr fontId="1" type="noConversion"/>
  </si>
  <si>
    <t>A</t>
    <phoneticPr fontId="1" type="noConversion"/>
  </si>
  <si>
    <t>6x6</t>
    <phoneticPr fontId="1" type="noConversion"/>
  </si>
  <si>
    <t>8x8</t>
    <phoneticPr fontId="1" type="noConversion"/>
  </si>
  <si>
    <t>=15</t>
    <phoneticPr fontId="1" type="noConversion"/>
  </si>
  <si>
    <t>=34</t>
    <phoneticPr fontId="1" type="noConversion"/>
  </si>
  <si>
    <t>=56</t>
    <phoneticPr fontId="1" type="noConversion"/>
  </si>
  <si>
    <t>3x3</t>
    <phoneticPr fontId="1" type="noConversion"/>
  </si>
  <si>
    <t>4x4</t>
    <phoneticPr fontId="1" type="noConversion"/>
  </si>
  <si>
    <t>5x5</t>
    <phoneticPr fontId="1" type="noConversion"/>
  </si>
  <si>
    <t>Hebrew</t>
    <phoneticPr fontId="1" type="noConversion"/>
  </si>
  <si>
    <t>--</t>
    <phoneticPr fontId="1" type="noConversion"/>
  </si>
  <si>
    <t>Exact</t>
    <phoneticPr fontId="1" type="noConversion"/>
  </si>
  <si>
    <t>Simplified</t>
    <phoneticPr fontId="1" type="noConversion"/>
  </si>
  <si>
    <t>Value</t>
    <phoneticPr fontId="1" type="noConversion"/>
  </si>
  <si>
    <t>a</t>
  </si>
  <si>
    <t>(a)</t>
    <phoneticPr fontId="1" type="noConversion"/>
  </si>
  <si>
    <t>a</t>
    <phoneticPr fontId="1" type="noConversion"/>
  </si>
  <si>
    <t>b</t>
  </si>
  <si>
    <t>(b/v/w)</t>
    <phoneticPr fontId="1" type="noConversion"/>
  </si>
  <si>
    <t>b</t>
    <phoneticPr fontId="1" type="noConversion"/>
  </si>
  <si>
    <t>g</t>
  </si>
  <si>
    <t>g</t>
    <phoneticPr fontId="1" type="noConversion"/>
  </si>
  <si>
    <t>d</t>
  </si>
  <si>
    <t>d</t>
    <phoneticPr fontId="1" type="noConversion"/>
  </si>
  <si>
    <t>h</t>
  </si>
  <si>
    <t>h</t>
    <phoneticPr fontId="1" type="noConversion"/>
  </si>
  <si>
    <t>v</t>
  </si>
  <si>
    <t>(v/o/u)</t>
    <phoneticPr fontId="1" type="noConversion"/>
  </si>
  <si>
    <t>Vol.2,p30</t>
    <phoneticPr fontId="18" type="noConversion"/>
  </si>
  <si>
    <t>r</t>
    <phoneticPr fontId="18" type="noConversion"/>
  </si>
  <si>
    <t>i</t>
    <phoneticPr fontId="18" type="noConversion"/>
  </si>
  <si>
    <t>c</t>
    <phoneticPr fontId="18" type="noConversion"/>
  </si>
  <si>
    <t>r</t>
    <phoneticPr fontId="18" type="noConversion"/>
  </si>
  <si>
    <t>y</t>
    <phoneticPr fontId="18" type="noConversion"/>
  </si>
  <si>
    <t>i</t>
    <phoneticPr fontId="18" type="noConversion"/>
  </si>
  <si>
    <t>l</t>
    <phoneticPr fontId="18" type="noConversion"/>
  </si>
  <si>
    <t>b</t>
    <phoneticPr fontId="18" type="noConversion"/>
  </si>
  <si>
    <t>q</t>
    <phoneticPr fontId="18" type="noConversion"/>
  </si>
  <si>
    <t>n</t>
    <phoneticPr fontId="18" type="noConversion"/>
  </si>
  <si>
    <t>d</t>
    <phoneticPr fontId="18" type="noConversion"/>
  </si>
  <si>
    <t>p</t>
    <phoneticPr fontId="18" type="noConversion"/>
  </si>
  <si>
    <t>n</t>
    <phoneticPr fontId="18" type="noConversion"/>
  </si>
  <si>
    <t>n</t>
    <phoneticPr fontId="18" type="noConversion"/>
  </si>
  <si>
    <t>Hebrew Total Letter Value</t>
    <phoneticPr fontId="18" type="noConversion"/>
  </si>
  <si>
    <t>d</t>
    <phoneticPr fontId="18" type="noConversion"/>
  </si>
  <si>
    <t>l</t>
    <phoneticPr fontId="18" type="noConversion"/>
  </si>
  <si>
    <t>n</t>
    <phoneticPr fontId="18" type="noConversion"/>
  </si>
  <si>
    <t>r</t>
    <phoneticPr fontId="18" type="noConversion"/>
  </si>
  <si>
    <t>Spirit, carrying the Keruvim</t>
    <phoneticPr fontId="18" type="noConversion"/>
  </si>
  <si>
    <t>Metatron</t>
    <phoneticPr fontId="18" type="noConversion"/>
  </si>
  <si>
    <t>Yophial</t>
    <phoneticPr fontId="18" type="noConversion"/>
  </si>
  <si>
    <t>v</t>
    <phoneticPr fontId="18" type="noConversion"/>
  </si>
  <si>
    <t>p</t>
    <phoneticPr fontId="18" type="noConversion"/>
  </si>
  <si>
    <t>Vol.2,p31</t>
    <phoneticPr fontId="18" type="noConversion"/>
  </si>
  <si>
    <t>u</t>
    <phoneticPr fontId="18" type="noConversion"/>
  </si>
  <si>
    <t>v</t>
    <phoneticPr fontId="18" type="noConversion"/>
  </si>
  <si>
    <t>m</t>
    <phoneticPr fontId="18" type="noConversion"/>
  </si>
  <si>
    <t>30th of a month</t>
    <phoneticPr fontId="18" type="noConversion"/>
  </si>
  <si>
    <t>y</t>
  </si>
  <si>
    <t>(i/j/y)</t>
    <phoneticPr fontId="1" type="noConversion"/>
  </si>
  <si>
    <t>y</t>
    <phoneticPr fontId="1" type="noConversion"/>
  </si>
  <si>
    <t>k</t>
  </si>
  <si>
    <t>k</t>
    <phoneticPr fontId="1" type="noConversion"/>
  </si>
  <si>
    <t>l</t>
  </si>
  <si>
    <t>l</t>
    <phoneticPr fontId="1" type="noConversion"/>
  </si>
  <si>
    <t>m</t>
  </si>
  <si>
    <t>m</t>
    <phoneticPr fontId="1" type="noConversion"/>
  </si>
  <si>
    <t>n</t>
  </si>
  <si>
    <t>n</t>
    <phoneticPr fontId="1" type="noConversion"/>
  </si>
  <si>
    <t>c</t>
  </si>
  <si>
    <t>(s/sz/ß)</t>
    <phoneticPr fontId="1" type="noConversion"/>
  </si>
  <si>
    <t>s</t>
    <phoneticPr fontId="1" type="noConversion"/>
  </si>
  <si>
    <t>i</t>
  </si>
  <si>
    <t>(a/o)</t>
    <phoneticPr fontId="1" type="noConversion"/>
  </si>
  <si>
    <t>a</t>
    <phoneticPr fontId="1" type="noConversion"/>
  </si>
  <si>
    <t>p</t>
  </si>
  <si>
    <t>(p/f)</t>
    <phoneticPr fontId="1" type="noConversion"/>
  </si>
  <si>
    <t>p</t>
    <phoneticPr fontId="1" type="noConversion"/>
  </si>
  <si>
    <t>j</t>
  </si>
  <si>
    <t>(ts/tsch)</t>
    <phoneticPr fontId="1" type="noConversion"/>
  </si>
  <si>
    <t>ts</t>
    <phoneticPr fontId="1" type="noConversion"/>
  </si>
  <si>
    <t>q</t>
  </si>
  <si>
    <t>(q/k)</t>
    <phoneticPr fontId="1" type="noConversion"/>
  </si>
  <si>
    <t>q</t>
    <phoneticPr fontId="1" type="noConversion"/>
  </si>
  <si>
    <t>r</t>
  </si>
  <si>
    <t>r</t>
    <phoneticPr fontId="1" type="noConversion"/>
  </si>
  <si>
    <t>s</t>
  </si>
  <si>
    <t>sch</t>
    <phoneticPr fontId="1" type="noConversion"/>
  </si>
  <si>
    <t>t</t>
  </si>
  <si>
    <t>1st</t>
    <phoneticPr fontId="1" type="noConversion"/>
  </si>
  <si>
    <t>2nd</t>
    <phoneticPr fontId="1" type="noConversion"/>
  </si>
  <si>
    <t>3rd</t>
    <phoneticPr fontId="1" type="noConversion"/>
  </si>
  <si>
    <t>5th</t>
    <phoneticPr fontId="1" type="noConversion"/>
  </si>
  <si>
    <t>6th</t>
    <phoneticPr fontId="1" type="noConversion"/>
  </si>
  <si>
    <t>Square</t>
    <phoneticPr fontId="1" type="noConversion"/>
  </si>
  <si>
    <t>Hebrew Angel</t>
    <phoneticPr fontId="1" type="noConversion"/>
  </si>
  <si>
    <t>Arabic Angel</t>
    <phoneticPr fontId="1" type="noConversion"/>
  </si>
  <si>
    <t>Sn</t>
    <phoneticPr fontId="1" type="noConversion"/>
  </si>
  <si>
    <t>-</t>
    <phoneticPr fontId="1" type="noConversion"/>
  </si>
  <si>
    <t>Ursurper</t>
    <phoneticPr fontId="1" type="noConversion"/>
  </si>
  <si>
    <t>Door</t>
    <phoneticPr fontId="1" type="noConversion"/>
  </si>
  <si>
    <t>-</t>
    <phoneticPr fontId="1" type="noConversion"/>
  </si>
  <si>
    <t>Guide</t>
    <phoneticPr fontId="1" type="noConversion"/>
  </si>
  <si>
    <t>Mystery</t>
    <phoneticPr fontId="1" type="noConversion"/>
  </si>
  <si>
    <t>Adjuster</t>
    <phoneticPr fontId="1" type="noConversion"/>
  </si>
  <si>
    <t>Leader</t>
    <phoneticPr fontId="1" type="noConversion"/>
  </si>
  <si>
    <t>Regulator</t>
    <phoneticPr fontId="1" type="noConversion"/>
  </si>
  <si>
    <t>General Governor</t>
    <phoneticPr fontId="1" type="noConversion"/>
  </si>
  <si>
    <t>High Overseer</t>
    <phoneticPr fontId="1" type="noConversion"/>
  </si>
  <si>
    <t>Amended</t>
    <phoneticPr fontId="1" type="noConversion"/>
  </si>
  <si>
    <t>O</t>
    <phoneticPr fontId="1" type="noConversion"/>
  </si>
  <si>
    <t>A</t>
    <phoneticPr fontId="1" type="noConversion"/>
  </si>
  <si>
    <t>Square</t>
    <phoneticPr fontId="1" type="noConversion"/>
  </si>
  <si>
    <t>Hebrew Angel</t>
    <phoneticPr fontId="1" type="noConversion"/>
  </si>
  <si>
    <t>Arabic Angel</t>
    <phoneticPr fontId="1" type="noConversion"/>
  </si>
  <si>
    <t>Sn</t>
    <phoneticPr fontId="1" type="noConversion"/>
  </si>
  <si>
    <t>-</t>
    <phoneticPr fontId="1" type="noConversion"/>
  </si>
  <si>
    <t>Ursurper</t>
    <phoneticPr fontId="1" type="noConversion"/>
  </si>
  <si>
    <t>O</t>
    <phoneticPr fontId="1" type="noConversion"/>
  </si>
  <si>
    <t>A</t>
    <phoneticPr fontId="1" type="noConversion"/>
  </si>
  <si>
    <t>9x9</t>
    <phoneticPr fontId="1" type="noConversion"/>
  </si>
  <si>
    <t>Number</t>
    <phoneticPr fontId="1" type="noConversion"/>
  </si>
  <si>
    <t>10x10</t>
    <phoneticPr fontId="1" type="noConversion"/>
  </si>
  <si>
    <t>Handle</t>
    <phoneticPr fontId="1" type="noConversion"/>
  </si>
  <si>
    <t>Hebrew Nomina Barbara</t>
    <phoneticPr fontId="18" type="noConversion"/>
  </si>
  <si>
    <t>v</t>
    <phoneticPr fontId="18" type="noConversion"/>
  </si>
  <si>
    <t>t</t>
    <phoneticPr fontId="18" type="noConversion"/>
  </si>
  <si>
    <t>m</t>
    <phoneticPr fontId="18" type="noConversion"/>
  </si>
  <si>
    <t>Nomina Barbara (Total Hebrew Letter Value)</t>
  </si>
  <si>
    <t>Nomina Barbara (Total Hebrew Letter Value)</t>
    <phoneticPr fontId="1" type="noConversion"/>
  </si>
  <si>
    <t>m</t>
    <phoneticPr fontId="18" type="noConversion"/>
  </si>
  <si>
    <t>v</t>
    <phoneticPr fontId="18" type="noConversion"/>
  </si>
  <si>
    <t>u</t>
    <phoneticPr fontId="18" type="noConversion"/>
  </si>
  <si>
    <t>h</t>
    <phoneticPr fontId="18" type="noConversion"/>
  </si>
  <si>
    <t>h</t>
    <phoneticPr fontId="18" type="noConversion"/>
  </si>
  <si>
    <t>x</t>
    <phoneticPr fontId="18" type="noConversion"/>
  </si>
  <si>
    <t>q</t>
    <phoneticPr fontId="18" type="noConversion"/>
  </si>
  <si>
    <t>7x7</t>
    <phoneticPr fontId="1" type="noConversion"/>
  </si>
  <si>
    <t>=111</t>
    <phoneticPr fontId="1" type="noConversion"/>
  </si>
  <si>
    <t>=175</t>
    <phoneticPr fontId="1" type="noConversion"/>
  </si>
  <si>
    <t>=260</t>
    <phoneticPr fontId="1" type="noConversion"/>
  </si>
  <si>
    <t>=369</t>
    <phoneticPr fontId="1" type="noConversion"/>
  </si>
  <si>
    <r>
      <t xml:space="preserve">(source: </t>
    </r>
    <r>
      <rPr>
        <i/>
        <sz val="10"/>
        <color indexed="23"/>
        <rFont val="Myriad Set Text"/>
      </rPr>
      <t>Magische Texte aus der Kairoer Geniza</t>
    </r>
    <r>
      <rPr>
        <sz val="10"/>
        <color indexed="23"/>
        <rFont val="Myriad Set Text"/>
      </rPr>
      <t>, Mohr Siebeck, Vol 1-3)</t>
    </r>
    <phoneticPr fontId="18" type="noConversion"/>
  </si>
  <si>
    <t>l</t>
    <phoneticPr fontId="18" type="noConversion"/>
  </si>
  <si>
    <t>y</t>
    <phoneticPr fontId="18" type="noConversion"/>
  </si>
  <si>
    <t>y</t>
    <phoneticPr fontId="18" type="noConversion"/>
  </si>
  <si>
    <t>y</t>
    <phoneticPr fontId="18" type="noConversion"/>
  </si>
  <si>
    <t>b</t>
    <phoneticPr fontId="18" type="noConversion"/>
  </si>
  <si>
    <t>a</t>
    <phoneticPr fontId="18" type="noConversion"/>
  </si>
  <si>
    <t>y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</si>
  <si>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</si>
  <si>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</si>
  <si>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</si>
  <si>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n</t>
    <phoneticPr fontId="1" type="noConversion"/>
  </si>
  <si>
    <t>(s/sz/ß)</t>
    <phoneticPr fontId="1" type="noConversion"/>
  </si>
  <si>
    <t>s</t>
    <phoneticPr fontId="1" type="noConversion"/>
  </si>
  <si>
    <t>(a/o)</t>
    <phoneticPr fontId="1" type="noConversion"/>
  </si>
  <si>
    <t>(p/f)</t>
    <phoneticPr fontId="1" type="noConversion"/>
  </si>
  <si>
    <t>p</t>
    <phoneticPr fontId="1" type="noConversion"/>
  </si>
  <si>
    <t>(ts/tsch)</t>
    <phoneticPr fontId="1" type="noConversion"/>
  </si>
  <si>
    <t>ts</t>
    <phoneticPr fontId="1" type="noConversion"/>
  </si>
  <si>
    <t>(q/k)</t>
    <phoneticPr fontId="1" type="noConversion"/>
  </si>
  <si>
    <t>q</t>
    <phoneticPr fontId="1" type="noConversion"/>
  </si>
  <si>
    <t>r</t>
    <phoneticPr fontId="1" type="noConversion"/>
  </si>
  <si>
    <t>sch</t>
    <phoneticPr fontId="1" type="noConversion"/>
  </si>
  <si>
    <t>Hebrew Reference</t>
    <phoneticPr fontId="18" type="noConversion"/>
  </si>
  <si>
    <t>Value</t>
    <phoneticPr fontId="18" type="noConversion"/>
  </si>
  <si>
    <t>A</t>
    <phoneticPr fontId="18" type="noConversion"/>
  </si>
  <si>
    <t>B</t>
    <phoneticPr fontId="18" type="noConversion"/>
  </si>
  <si>
    <t>S</t>
    <phoneticPr fontId="18" type="noConversion"/>
  </si>
  <si>
    <t>D</t>
    <phoneticPr fontId="18" type="noConversion"/>
  </si>
  <si>
    <t>G</t>
    <phoneticPr fontId="18" type="noConversion"/>
  </si>
  <si>
    <t>H</t>
    <phoneticPr fontId="18" type="noConversion"/>
  </si>
  <si>
    <t>Ts</t>
    <phoneticPr fontId="18" type="noConversion"/>
  </si>
  <si>
    <t>K</t>
    <phoneticPr fontId="18" type="noConversion"/>
  </si>
  <si>
    <t>L</t>
    <phoneticPr fontId="18" type="noConversion"/>
  </si>
  <si>
    <t>M</t>
    <phoneticPr fontId="18" type="noConversion"/>
  </si>
  <si>
    <t>N</t>
    <phoneticPr fontId="18" type="noConversion"/>
  </si>
  <si>
    <t>P</t>
    <phoneticPr fontId="18" type="noConversion"/>
  </si>
  <si>
    <t>Q</t>
    <phoneticPr fontId="18" type="noConversion"/>
  </si>
  <si>
    <t>R</t>
    <phoneticPr fontId="18" type="noConversion"/>
  </si>
  <si>
    <t>Sch</t>
    <phoneticPr fontId="18" type="noConversion"/>
  </si>
  <si>
    <t>Th</t>
    <phoneticPr fontId="18" type="noConversion"/>
  </si>
  <si>
    <t>T</t>
    <phoneticPr fontId="18" type="noConversion"/>
  </si>
  <si>
    <t>V</t>
    <phoneticPr fontId="18" type="noConversion"/>
  </si>
  <si>
    <t>Ch</t>
    <phoneticPr fontId="18" type="noConversion"/>
  </si>
  <si>
    <t>Y</t>
    <phoneticPr fontId="18" type="noConversion"/>
  </si>
  <si>
    <t>Z</t>
    <phoneticPr fontId="18" type="noConversion"/>
  </si>
  <si>
    <t>Nomina Barbara Match</t>
    <phoneticPr fontId="1" type="noConversion"/>
  </si>
  <si>
    <t>t</t>
    <phoneticPr fontId="1" type="noConversion"/>
  </si>
  <si>
    <t>qt</t>
    <phoneticPr fontId="1" type="noConversion"/>
  </si>
  <si>
    <t>th</t>
    <phoneticPr fontId="1" type="noConversion"/>
  </si>
  <si>
    <t>rt</t>
    <phoneticPr fontId="1" type="noConversion"/>
  </si>
  <si>
    <t>(kh,ch)</t>
    <phoneticPr fontId="1" type="noConversion"/>
  </si>
  <si>
    <t>st</t>
    <phoneticPr fontId="1" type="noConversion"/>
  </si>
  <si>
    <t>(dh,tz)</t>
    <phoneticPr fontId="1" type="noConversion"/>
  </si>
  <si>
    <t>tt</t>
    <phoneticPr fontId="1" type="noConversion"/>
  </si>
  <si>
    <t>qtt</t>
    <phoneticPr fontId="1" type="noConversion"/>
  </si>
  <si>
    <t>(zh,z)</t>
    <phoneticPr fontId="1" type="noConversion"/>
  </si>
  <si>
    <t>(gh,g)</t>
    <phoneticPr fontId="1" type="noConversion"/>
  </si>
  <si>
    <t>Name</t>
    <phoneticPr fontId="1" type="noConversion"/>
  </si>
  <si>
    <t>Hebrew</t>
  </si>
  <si>
    <t>Exact</t>
  </si>
  <si>
    <t>Simplified</t>
  </si>
  <si>
    <t>(a)</t>
  </si>
  <si>
    <t>(b/v/w)</t>
  </si>
  <si>
    <t>(v/o/u)</t>
  </si>
  <si>
    <t>(z/s)</t>
  </si>
  <si>
    <t>ch</t>
  </si>
  <si>
    <t>(i/j/y)</t>
  </si>
  <si>
    <t>(s/sz/ß)</t>
  </si>
  <si>
    <t>(a/o)</t>
  </si>
  <si>
    <t>(p/f)</t>
  </si>
  <si>
    <t>(ts/tsch)</t>
  </si>
  <si>
    <t>(q/k)</t>
  </si>
  <si>
    <t>sch</t>
  </si>
  <si>
    <t>a</t>
    <phoneticPr fontId="18" type="noConversion"/>
  </si>
  <si>
    <t>g</t>
    <phoneticPr fontId="18" type="noConversion"/>
  </si>
  <si>
    <t>h</t>
    <phoneticPr fontId="18" type="noConversion"/>
  </si>
  <si>
    <t>v</t>
    <phoneticPr fontId="18" type="noConversion"/>
  </si>
  <si>
    <t>s</t>
    <phoneticPr fontId="18" type="noConversion"/>
  </si>
  <si>
    <t>Hebrew</t>
    <phoneticPr fontId="1" type="noConversion"/>
  </si>
  <si>
    <t>Arabic</t>
    <phoneticPr fontId="1" type="noConversion"/>
  </si>
  <si>
    <t>Square Construction</t>
    <phoneticPr fontId="1" type="noConversion"/>
  </si>
  <si>
    <t>Original Square Values</t>
    <phoneticPr fontId="1" type="noConversion"/>
  </si>
  <si>
    <t>Digit Count</t>
    <phoneticPr fontId="1" type="noConversion"/>
  </si>
  <si>
    <t>1st</t>
    <phoneticPr fontId="1" type="noConversion"/>
  </si>
  <si>
    <t>2nd</t>
    <phoneticPr fontId="1" type="noConversion"/>
  </si>
  <si>
    <t>3rd</t>
    <phoneticPr fontId="1" type="noConversion"/>
  </si>
  <si>
    <t>4th</t>
    <phoneticPr fontId="1" type="noConversion"/>
  </si>
  <si>
    <t>5th</t>
    <phoneticPr fontId="1" type="noConversion"/>
  </si>
  <si>
    <t>6th</t>
    <phoneticPr fontId="1" type="noConversion"/>
  </si>
  <si>
    <t>v</t>
    <phoneticPr fontId="18" type="noConversion"/>
  </si>
  <si>
    <t>a</t>
    <phoneticPr fontId="18" type="noConversion"/>
  </si>
  <si>
    <t>Value</t>
    <phoneticPr fontId="1" type="noConversion"/>
  </si>
  <si>
    <t>(a)</t>
    <phoneticPr fontId="1" type="noConversion"/>
  </si>
  <si>
    <t>a</t>
    <phoneticPr fontId="1" type="noConversion"/>
  </si>
  <si>
    <t>(b/v/w)</t>
    <phoneticPr fontId="1" type="noConversion"/>
  </si>
  <si>
    <t>b</t>
    <phoneticPr fontId="1" type="noConversion"/>
  </si>
  <si>
    <t>g</t>
    <phoneticPr fontId="1" type="noConversion"/>
  </si>
  <si>
    <t>d</t>
    <phoneticPr fontId="1" type="noConversion"/>
  </si>
  <si>
    <t>h</t>
    <phoneticPr fontId="1" type="noConversion"/>
  </si>
  <si>
    <t>(v/o/u)</t>
    <phoneticPr fontId="1" type="noConversion"/>
  </si>
  <si>
    <t>v</t>
    <phoneticPr fontId="1" type="noConversion"/>
  </si>
  <si>
    <t>(z/s)</t>
    <phoneticPr fontId="1" type="noConversion"/>
  </si>
  <si>
    <t>z</t>
    <phoneticPr fontId="1" type="noConversion"/>
  </si>
  <si>
    <t>ch</t>
    <phoneticPr fontId="1" type="noConversion"/>
  </si>
  <si>
    <t>(i/j/y)</t>
    <phoneticPr fontId="1" type="noConversion"/>
  </si>
  <si>
    <t>v</t>
    <phoneticPr fontId="1" type="noConversion"/>
  </si>
  <si>
    <t>z</t>
  </si>
  <si>
    <t>(z/s)</t>
    <phoneticPr fontId="1" type="noConversion"/>
  </si>
  <si>
    <t>z</t>
    <phoneticPr fontId="1" type="noConversion"/>
  </si>
  <si>
    <t>x</t>
  </si>
  <si>
    <t>ch</t>
    <phoneticPr fontId="1" type="noConversion"/>
  </si>
  <si>
    <t>u</t>
  </si>
  <si>
    <t>t</t>
    <phoneticPr fontId="1" type="noConversion"/>
  </si>
  <si>
    <t>t</t>
    <phoneticPr fontId="1" type="noConversion"/>
  </si>
  <si>
    <t>u</t>
    <phoneticPr fontId="18" type="noConversion"/>
  </si>
  <si>
    <t>c</t>
    <phoneticPr fontId="18" type="noConversion"/>
  </si>
  <si>
    <t>n</t>
    <phoneticPr fontId="18" type="noConversion"/>
  </si>
  <si>
    <t>p</t>
    <phoneticPr fontId="18" type="noConversion"/>
  </si>
  <si>
    <t>q</t>
    <phoneticPr fontId="18" type="noConversion"/>
  </si>
  <si>
    <t>d</t>
    <phoneticPr fontId="18" type="noConversion"/>
  </si>
  <si>
    <t>n</t>
    <phoneticPr fontId="18" type="noConversion"/>
  </si>
  <si>
    <t>n</t>
    <phoneticPr fontId="18" type="noConversion"/>
  </si>
  <si>
    <t>d</t>
    <phoneticPr fontId="18" type="noConversion"/>
  </si>
  <si>
    <t>k</t>
    <phoneticPr fontId="18" type="noConversion"/>
  </si>
  <si>
    <t>sch</t>
    <phoneticPr fontId="1" type="noConversion"/>
  </si>
  <si>
    <t>t</t>
    <phoneticPr fontId="1" type="noConversion"/>
  </si>
  <si>
    <t>qt</t>
    <phoneticPr fontId="1" type="noConversion"/>
  </si>
  <si>
    <t>th</t>
    <phoneticPr fontId="1" type="noConversion"/>
  </si>
  <si>
    <t>th</t>
    <phoneticPr fontId="1" type="noConversion"/>
  </si>
  <si>
    <t>rt</t>
    <phoneticPr fontId="1" type="noConversion"/>
  </si>
  <si>
    <t>(kh,ch)</t>
    <phoneticPr fontId="1" type="noConversion"/>
  </si>
  <si>
    <t>st</t>
    <phoneticPr fontId="1" type="noConversion"/>
  </si>
  <si>
    <t>(dh,tz)</t>
    <phoneticPr fontId="1" type="noConversion"/>
  </si>
  <si>
    <t>tt</t>
    <phoneticPr fontId="1" type="noConversion"/>
  </si>
  <si>
    <t>d</t>
    <phoneticPr fontId="1" type="noConversion"/>
  </si>
  <si>
    <t>qtt</t>
    <phoneticPr fontId="1" type="noConversion"/>
  </si>
  <si>
    <t>(zh,z)</t>
    <phoneticPr fontId="1" type="noConversion"/>
  </si>
  <si>
    <t>a</t>
    <phoneticPr fontId="1" type="noConversion"/>
  </si>
  <si>
    <t>Hebrew Transliteration Table</t>
    <phoneticPr fontId="1" type="noConversion"/>
  </si>
  <si>
    <t>x</t>
    <phoneticPr fontId="18" type="noConversion"/>
  </si>
  <si>
    <t>Nissan, Aries</t>
    <phoneticPr fontId="18" type="noConversion"/>
  </si>
  <si>
    <t>Iyyar, Taurus</t>
    <phoneticPr fontId="18" type="noConversion"/>
  </si>
  <si>
    <t>Tammuz, Cancer</t>
    <phoneticPr fontId="18" type="noConversion"/>
  </si>
  <si>
    <t>Av, Lion</t>
    <phoneticPr fontId="18" type="noConversion"/>
  </si>
  <si>
    <t>Elul, Virgo</t>
    <phoneticPr fontId="18" type="noConversion"/>
  </si>
  <si>
    <t>Tishre, Libra</t>
    <phoneticPr fontId="18" type="noConversion"/>
  </si>
  <si>
    <t>Marheshwan, Scorpio</t>
    <phoneticPr fontId="18" type="noConversion"/>
  </si>
  <si>
    <t xml:space="preserve">Kislew, </t>
    <phoneticPr fontId="18" type="noConversion"/>
  </si>
  <si>
    <t>Tewet, Capricorn</t>
    <phoneticPr fontId="18" type="noConversion"/>
  </si>
  <si>
    <t>Shevat, Aquarius</t>
    <phoneticPr fontId="18" type="noConversion"/>
  </si>
  <si>
    <t>Adar, Pisces</t>
    <phoneticPr fontId="18" type="noConversion"/>
  </si>
  <si>
    <t>Jupiter</t>
    <phoneticPr fontId="18" type="noConversion"/>
  </si>
  <si>
    <t>Mars</t>
    <phoneticPr fontId="18" type="noConversion"/>
  </si>
  <si>
    <t>g</t>
    <phoneticPr fontId="18" type="noConversion"/>
  </si>
  <si>
    <t>2.Adar (?)</t>
    <phoneticPr fontId="18" type="noConversion"/>
  </si>
  <si>
    <t>Herbrew Spelling</t>
    <phoneticPr fontId="18" type="noConversion"/>
  </si>
  <si>
    <t>Latin Transliteration</t>
    <phoneticPr fontId="18" type="noConversion"/>
  </si>
  <si>
    <t>Hebrew Total Letter Value</t>
    <phoneticPr fontId="18" type="noConversion"/>
  </si>
  <si>
    <t>Comment (name is related to)</t>
    <phoneticPr fontId="18" type="noConversion"/>
  </si>
  <si>
    <t>Source</t>
    <phoneticPr fontId="18" type="noConversion"/>
  </si>
  <si>
    <t>Gott</t>
    <phoneticPr fontId="18" type="noConversion"/>
  </si>
  <si>
    <t>Vol.2,p32</t>
    <phoneticPr fontId="18" type="noConversion"/>
  </si>
  <si>
    <t>j</t>
    <phoneticPr fontId="18" type="noConversion"/>
  </si>
  <si>
    <t>t</t>
    <phoneticPr fontId="18" type="noConversion"/>
  </si>
  <si>
    <t>Vol.2,p32</t>
    <phoneticPr fontId="18" type="noConversion"/>
  </si>
  <si>
    <t>Vol.2,p32</t>
    <phoneticPr fontId="18" type="noConversion"/>
  </si>
  <si>
    <t>Vol.2,p32</t>
    <phoneticPr fontId="18" type="noConversion"/>
  </si>
  <si>
    <t>h</t>
    <phoneticPr fontId="18" type="noConversion"/>
  </si>
  <si>
    <t>l</t>
    <phoneticPr fontId="18" type="noConversion"/>
  </si>
  <si>
    <t>u</t>
    <phoneticPr fontId="18" type="noConversion"/>
  </si>
  <si>
    <t>t</t>
    <phoneticPr fontId="18" type="noConversion"/>
  </si>
  <si>
    <t>Vol.2,p33</t>
    <phoneticPr fontId="18" type="noConversion"/>
  </si>
  <si>
    <t>Vol.2,p33</t>
    <phoneticPr fontId="18" type="noConversion"/>
  </si>
  <si>
    <t>b</t>
    <phoneticPr fontId="18" type="noConversion"/>
  </si>
  <si>
    <t>b</t>
    <phoneticPr fontId="18" type="noConversion"/>
  </si>
  <si>
    <t>Vol.2,p33</t>
    <phoneticPr fontId="18" type="noConversion"/>
  </si>
  <si>
    <t>r</t>
    <phoneticPr fontId="18" type="noConversion"/>
  </si>
  <si>
    <t>y</t>
    <phoneticPr fontId="18" type="noConversion"/>
  </si>
  <si>
    <t>u</t>
    <phoneticPr fontId="18" type="noConversion"/>
  </si>
  <si>
    <t>a</t>
    <phoneticPr fontId="18" type="noConversion"/>
  </si>
  <si>
    <t>m</t>
    <phoneticPr fontId="18" type="noConversion"/>
  </si>
  <si>
    <t>u</t>
    <phoneticPr fontId="18" type="noConversion"/>
  </si>
  <si>
    <t>y</t>
    <phoneticPr fontId="18" type="noConversion"/>
  </si>
  <si>
    <t>h</t>
    <phoneticPr fontId="18" type="noConversion"/>
  </si>
  <si>
    <t>p</t>
    <phoneticPr fontId="18" type="noConversion"/>
  </si>
  <si>
    <t>y</t>
    <phoneticPr fontId="18" type="noConversion"/>
  </si>
  <si>
    <t>u</t>
    <phoneticPr fontId="18" type="noConversion"/>
  </si>
  <si>
    <t>m</t>
    <phoneticPr fontId="18" type="noConversion"/>
  </si>
  <si>
    <t>n</t>
    <phoneticPr fontId="18" type="noConversion"/>
  </si>
  <si>
    <t>u</t>
    <phoneticPr fontId="18" type="noConversion"/>
  </si>
  <si>
    <t>c</t>
    <phoneticPr fontId="18" type="noConversion"/>
  </si>
  <si>
    <t>p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</si>
</sst>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1">
    <font>
      <sz val="10"/>
      <name val="Verdana"/>
    </font>
    <font>
      <sz val="8"/>
      <name val="Verdana"/>
      <family val="2"/>
    </font>
    <font>
      <sz val="10"/>
      <name val="Myriad Set Text"/>
    </font>
    <font>
      <sz val="10"/>
      <color indexed="23"/>
      <name val="Myriad Set Text"/>
    </font>
    <font>
      <i/>
      <sz val="10"/>
      <name val="Myriad Set Text"/>
    </font>
    <font>
      <i/>
      <sz val="10"/>
      <color indexed="23"/>
      <name val="Myriad Set Text"/>
    </font>
    <font>
      <b/>
      <sz val="10"/>
      <color indexed="23"/>
      <name val="Myriad Set Text"/>
    </font>
    <font>
      <sz val="24"/>
      <color indexed="63"/>
      <name val="1942 report"/>
    </font>
    <font>
      <b/>
      <sz val="10"/>
      <name val="Myriad Set Text"/>
    </font>
    <font>
      <sz val="28"/>
      <color indexed="63"/>
      <name val="1942 report"/>
    </font>
    <font>
      <i/>
      <sz val="10"/>
      <color indexed="55"/>
      <name val="Myriad Set Text"/>
    </font>
    <font>
      <sz val="10"/>
      <color indexed="55"/>
      <name val="Myriad Set Text"/>
    </font>
    <font>
      <b/>
      <sz val="10"/>
      <color indexed="55"/>
      <name val="Myriad Set Text"/>
    </font>
    <font>
      <b/>
      <i/>
      <sz val="10"/>
      <color indexed="55"/>
      <name val="Myriad Set Text"/>
    </font>
    <font>
      <sz val="12"/>
      <name val="Myriad Set Text"/>
    </font>
    <font>
      <b/>
      <sz val="12"/>
      <name val="Myriad Set Text"/>
    </font>
    <font>
      <sz val="12"/>
      <name val="Hebrew Regular"/>
    </font>
    <font>
      <sz val="10"/>
      <name val="Hebrew Regular"/>
    </font>
    <font>
      <sz val="8"/>
      <name val="Myriad Set Text"/>
    </font>
    <font>
      <b/>
      <i/>
      <sz val="10"/>
      <color indexed="55"/>
      <name val="Verdana"/>
      <family val="2"/>
    </font>
    <font>
      <sz val="10"/>
      <color indexed="63"/>
      <name val="Myriad Set Text"/>
    </font>
    <font>
      <b/>
      <sz val="10"/>
      <color indexed="63"/>
      <name val="Myriad Set Text"/>
    </font>
    <font>
      <b/>
      <i/>
      <sz val="15"/>
      <color indexed="63"/>
      <name val="Myriad Set Text"/>
    </font>
    <font>
      <b/>
      <i/>
      <sz val="15"/>
      <color indexed="63"/>
      <name val="Verdana"/>
      <family val="2"/>
    </font>
    <font>
      <b/>
      <sz val="12"/>
      <color indexed="63"/>
      <name val="Myriad Set Text"/>
    </font>
    <font>
      <b/>
      <sz val="10"/>
      <color indexed="63"/>
      <name val="Verdana"/>
      <family val="2"/>
    </font>
    <font>
      <sz val="12"/>
      <color indexed="63"/>
      <name val="Myriad Set Text"/>
    </font>
    <font>
      <sz val="12"/>
      <color indexed="63"/>
      <name val="Hebrew Regular"/>
    </font>
    <font>
      <sz val="10"/>
      <color indexed="63"/>
      <name val="Verdana"/>
      <family val="2"/>
    </font>
    <font>
      <sz val="9"/>
      <color indexed="81"/>
      <name val="Verdana"/>
      <family val="2"/>
    </font>
    <font>
      <b/>
      <sz val="9"/>
      <color indexed="8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medium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medium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hair">
        <color indexed="55"/>
      </bottom>
      <diagonal/>
    </border>
    <border>
      <left/>
      <right/>
      <top style="medium">
        <color indexed="55"/>
      </top>
      <bottom style="hair">
        <color indexed="55"/>
      </bottom>
      <diagonal/>
    </border>
    <border>
      <left style="medium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/>
      <top style="hair">
        <color indexed="55"/>
      </top>
      <bottom style="medium">
        <color indexed="55"/>
      </bottom>
      <diagonal/>
    </border>
    <border>
      <left/>
      <right/>
      <top style="hair">
        <color indexed="55"/>
      </top>
      <bottom style="medium">
        <color indexed="55"/>
      </bottom>
      <diagonal/>
    </border>
    <border>
      <left/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hair">
        <color indexed="55"/>
      </bottom>
      <diagonal/>
    </border>
    <border>
      <left style="medium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hair">
        <color indexed="55"/>
      </bottom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/>
      <diagonal/>
    </border>
    <border>
      <left style="medium">
        <color indexed="55"/>
      </left>
      <right style="hair">
        <color indexed="46"/>
      </right>
      <top style="medium">
        <color indexed="55"/>
      </top>
      <bottom style="hair">
        <color indexed="55"/>
      </bottom>
      <diagonal/>
    </border>
    <border>
      <left style="hair">
        <color indexed="46"/>
      </left>
      <right style="hair">
        <color indexed="46"/>
      </right>
      <top style="medium">
        <color indexed="55"/>
      </top>
      <bottom style="hair">
        <color indexed="55"/>
      </bottom>
      <diagonal/>
    </border>
    <border>
      <left style="hair">
        <color indexed="46"/>
      </left>
      <right style="medium">
        <color indexed="55"/>
      </right>
      <top style="medium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46"/>
      </right>
      <top style="hair">
        <color indexed="55"/>
      </top>
      <bottom style="hair">
        <color indexed="55"/>
      </bottom>
      <diagonal/>
    </border>
    <border>
      <left style="hair">
        <color indexed="46"/>
      </left>
      <right style="hair">
        <color indexed="46"/>
      </right>
      <top style="hair">
        <color indexed="55"/>
      </top>
      <bottom style="hair">
        <color indexed="55"/>
      </bottom>
      <diagonal/>
    </border>
    <border>
      <left style="hair">
        <color indexed="46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46"/>
      </right>
      <top style="hair">
        <color indexed="55"/>
      </top>
      <bottom style="medium">
        <color indexed="55"/>
      </bottom>
      <diagonal/>
    </border>
    <border>
      <left style="hair">
        <color indexed="46"/>
      </left>
      <right style="hair">
        <color indexed="46"/>
      </right>
      <top style="hair">
        <color indexed="55"/>
      </top>
      <bottom style="medium">
        <color indexed="55"/>
      </bottom>
      <diagonal/>
    </border>
    <border>
      <left style="hair">
        <color indexed="46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/>
    </xf>
    <xf numFmtId="0" fontId="3" fillId="3" borderId="0" xfId="0" quotePrefix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2" fillId="3" borderId="9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16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1" fillId="3" borderId="2" xfId="0" quotePrefix="1" applyFont="1" applyFill="1" applyBorder="1" applyAlignment="1">
      <alignment horizontal="left" vertical="center"/>
    </xf>
    <xf numFmtId="0" fontId="11" fillId="3" borderId="5" xfId="0" quotePrefix="1" applyFont="1" applyFill="1" applyBorder="1" applyAlignment="1">
      <alignment horizontal="left" vertical="center"/>
    </xf>
    <xf numFmtId="0" fontId="11" fillId="3" borderId="6" xfId="0" quotePrefix="1" applyFont="1" applyFill="1" applyBorder="1" applyAlignment="1">
      <alignment horizontal="left" vertical="center"/>
    </xf>
    <xf numFmtId="0" fontId="11" fillId="3" borderId="3" xfId="0" quotePrefix="1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4" borderId="20" xfId="0" applyFont="1" applyFill="1" applyBorder="1" applyAlignment="1" applyProtection="1">
      <alignment horizontal="center" vertical="center"/>
    </xf>
    <xf numFmtId="0" fontId="16" fillId="4" borderId="21" xfId="0" applyFont="1" applyFill="1" applyBorder="1" applyAlignment="1" applyProtection="1">
      <alignment horizontal="center" vertical="center" wrapText="1"/>
    </xf>
    <xf numFmtId="0" fontId="14" fillId="4" borderId="21" xfId="0" applyFont="1" applyFill="1" applyBorder="1" applyAlignment="1" applyProtection="1">
      <alignment horizontal="center" vertical="center"/>
    </xf>
    <xf numFmtId="0" fontId="14" fillId="4" borderId="22" xfId="0" applyFont="1" applyFill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right" vertical="center"/>
    </xf>
    <xf numFmtId="0" fontId="16" fillId="2" borderId="27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29" xfId="0" applyFont="1" applyBorder="1" applyAlignment="1" applyProtection="1">
      <alignment horizontal="center" vertical="center" wrapText="1"/>
    </xf>
    <xf numFmtId="0" fontId="14" fillId="4" borderId="30" xfId="0" applyFont="1" applyFill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31" xfId="0" applyFont="1" applyBorder="1" applyAlignment="1" applyProtection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6" fillId="0" borderId="18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6" fillId="0" borderId="19" xfId="0" applyFont="1" applyBorder="1" applyAlignment="1" applyProtection="1">
      <alignment horizontal="center" vertical="center"/>
    </xf>
    <xf numFmtId="0" fontId="26" fillId="0" borderId="32" xfId="0" applyFont="1" applyBorder="1" applyAlignment="1" applyProtection="1">
      <alignment horizontal="center" vertical="center"/>
    </xf>
    <xf numFmtId="0" fontId="27" fillId="4" borderId="20" xfId="0" applyFont="1" applyFill="1" applyBorder="1" applyAlignment="1" applyProtection="1">
      <alignment horizontal="center" vertical="center"/>
    </xf>
    <xf numFmtId="0" fontId="26" fillId="4" borderId="21" xfId="0" applyFont="1" applyFill="1" applyBorder="1" applyAlignment="1" applyProtection="1">
      <alignment horizontal="center" vertical="center"/>
    </xf>
    <xf numFmtId="0" fontId="26" fillId="4" borderId="22" xfId="0" applyFont="1" applyFill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</xf>
    <xf numFmtId="0" fontId="26" fillId="0" borderId="21" xfId="0" applyFont="1" applyBorder="1" applyAlignment="1" applyProtection="1">
      <alignment horizontal="center" vertical="center"/>
    </xf>
    <xf numFmtId="0" fontId="26" fillId="0" borderId="22" xfId="0" applyFont="1" applyBorder="1" applyAlignment="1" applyProtection="1">
      <alignment horizontal="center" vertical="center"/>
    </xf>
    <xf numFmtId="0" fontId="27" fillId="0" borderId="23" xfId="0" applyFont="1" applyBorder="1" applyAlignment="1" applyProtection="1">
      <alignment horizontal="center" vertical="center"/>
    </xf>
    <xf numFmtId="0" fontId="26" fillId="0" borderId="24" xfId="0" applyFont="1" applyBorder="1" applyAlignment="1" applyProtection="1">
      <alignment horizontal="center" vertical="center"/>
    </xf>
    <xf numFmtId="0" fontId="26" fillId="0" borderId="25" xfId="0" applyFont="1" applyBorder="1" applyAlignment="1" applyProtection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27" fillId="0" borderId="36" xfId="0" applyFont="1" applyBorder="1" applyAlignment="1" applyProtection="1">
      <alignment horizontal="center" vertical="center"/>
    </xf>
    <xf numFmtId="0" fontId="27" fillId="0" borderId="37" xfId="0" applyFont="1" applyBorder="1" applyAlignment="1" applyProtection="1">
      <alignment horizontal="center" vertical="center"/>
    </xf>
    <xf numFmtId="0" fontId="27" fillId="0" borderId="38" xfId="0" applyFont="1" applyBorder="1" applyAlignment="1" applyProtection="1">
      <alignment horizontal="center" vertical="center"/>
    </xf>
    <xf numFmtId="0" fontId="27" fillId="0" borderId="32" xfId="0" applyFont="1" applyBorder="1" applyAlignment="1" applyProtection="1">
      <alignment horizontal="center" vertical="center"/>
    </xf>
    <xf numFmtId="0" fontId="26" fillId="0" borderId="29" xfId="0" applyFont="1" applyBorder="1" applyAlignment="1" applyProtection="1">
      <alignment horizontal="center" vertical="center" wrapText="1"/>
    </xf>
    <xf numFmtId="0" fontId="26" fillId="0" borderId="29" xfId="0" applyFont="1" applyBorder="1" applyAlignment="1" applyProtection="1">
      <alignment horizontal="center" vertical="center"/>
    </xf>
    <xf numFmtId="0" fontId="26" fillId="0" borderId="18" xfId="0" applyFont="1" applyBorder="1" applyAlignment="1" applyProtection="1">
      <alignment horizontal="center" vertical="center"/>
    </xf>
    <xf numFmtId="0" fontId="26" fillId="0" borderId="32" xfId="0" quotePrefix="1" applyFont="1" applyBorder="1" applyAlignment="1" applyProtection="1">
      <alignment horizontal="center" vertical="center"/>
    </xf>
    <xf numFmtId="0" fontId="27" fillId="4" borderId="39" xfId="0" applyFont="1" applyFill="1" applyBorder="1" applyAlignment="1" applyProtection="1">
      <alignment horizontal="center" vertical="center"/>
    </xf>
    <xf numFmtId="0" fontId="27" fillId="4" borderId="40" xfId="0" applyFont="1" applyFill="1" applyBorder="1" applyAlignment="1" applyProtection="1">
      <alignment horizontal="center" vertical="center"/>
    </xf>
    <xf numFmtId="0" fontId="27" fillId="4" borderId="41" xfId="0" applyFont="1" applyFill="1" applyBorder="1" applyAlignment="1" applyProtection="1">
      <alignment horizontal="center" vertical="center"/>
    </xf>
    <xf numFmtId="0" fontId="27" fillId="4" borderId="22" xfId="0" applyFont="1" applyFill="1" applyBorder="1" applyAlignment="1" applyProtection="1">
      <alignment horizontal="center" vertical="center"/>
    </xf>
    <xf numFmtId="0" fontId="26" fillId="4" borderId="30" xfId="0" applyFont="1" applyFill="1" applyBorder="1" applyAlignment="1" applyProtection="1">
      <alignment horizontal="center" vertical="center" wrapText="1"/>
    </xf>
    <xf numFmtId="0" fontId="26" fillId="4" borderId="30" xfId="0" applyFont="1" applyFill="1" applyBorder="1" applyAlignment="1" applyProtection="1">
      <alignment horizontal="center" vertical="center"/>
    </xf>
    <xf numFmtId="0" fontId="26" fillId="4" borderId="20" xfId="0" applyFont="1" applyFill="1" applyBorder="1" applyAlignment="1" applyProtection="1">
      <alignment horizontal="center" vertical="center"/>
    </xf>
    <xf numFmtId="0" fontId="26" fillId="4" borderId="22" xfId="0" quotePrefix="1" applyFont="1" applyFill="1" applyBorder="1" applyAlignment="1" applyProtection="1">
      <alignment horizontal="center" vertical="center"/>
    </xf>
    <xf numFmtId="0" fontId="27" fillId="0" borderId="39" xfId="0" applyFont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/>
    </xf>
    <xf numFmtId="0" fontId="27" fillId="0" borderId="41" xfId="0" applyFont="1" applyBorder="1" applyAlignment="1" applyProtection="1">
      <alignment horizontal="center" vertical="center"/>
    </xf>
    <xf numFmtId="0" fontId="27" fillId="0" borderId="22" xfId="0" applyFont="1" applyBorder="1" applyAlignment="1" applyProtection="1">
      <alignment horizontal="center" vertical="center"/>
    </xf>
    <xf numFmtId="0" fontId="26" fillId="0" borderId="30" xfId="0" applyFont="1" applyBorder="1" applyAlignment="1" applyProtection="1">
      <alignment horizontal="center" vertical="center" wrapText="1"/>
    </xf>
    <xf numFmtId="0" fontId="26" fillId="0" borderId="30" xfId="0" applyFont="1" applyBorder="1" applyAlignment="1" applyProtection="1">
      <alignment horizontal="center" vertical="center"/>
    </xf>
    <xf numFmtId="0" fontId="26" fillId="0" borderId="20" xfId="0" applyFont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7" fillId="0" borderId="42" xfId="0" applyFont="1" applyBorder="1" applyAlignment="1" applyProtection="1">
      <alignment horizontal="center" vertical="center"/>
    </xf>
    <xf numFmtId="0" fontId="27" fillId="0" borderId="43" xfId="0" applyFont="1" applyBorder="1" applyAlignment="1" applyProtection="1">
      <alignment horizontal="center" vertical="center"/>
    </xf>
    <xf numFmtId="0" fontId="27" fillId="0" borderId="44" xfId="0" applyFont="1" applyBorder="1" applyAlignment="1" applyProtection="1">
      <alignment horizontal="center" vertical="center"/>
    </xf>
    <xf numFmtId="0" fontId="27" fillId="0" borderId="25" xfId="0" applyFont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center" vertical="center" wrapText="1"/>
    </xf>
    <xf numFmtId="0" fontId="26" fillId="0" borderId="31" xfId="0" applyFont="1" applyBorder="1" applyAlignment="1" applyProtection="1">
      <alignment horizontal="center" vertical="center"/>
    </xf>
    <xf numFmtId="0" fontId="26" fillId="0" borderId="23" xfId="0" applyFont="1" applyBorder="1" applyAlignment="1" applyProtection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top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7" fillId="0" borderId="21" xfId="0" applyFont="1" applyBorder="1" applyAlignment="1" applyProtection="1">
      <alignment horizontal="center" vertical="center" wrapText="1"/>
    </xf>
    <xf numFmtId="0" fontId="27" fillId="4" borderId="21" xfId="0" applyFont="1" applyFill="1" applyBorder="1" applyAlignment="1" applyProtection="1">
      <alignment horizontal="center" vertical="center" wrapText="1"/>
    </xf>
    <xf numFmtId="0" fontId="26" fillId="4" borderId="23" xfId="0" applyFont="1" applyFill="1" applyBorder="1" applyAlignment="1" applyProtection="1">
      <alignment horizontal="center" vertical="center"/>
    </xf>
    <xf numFmtId="0" fontId="27" fillId="4" borderId="24" xfId="0" applyFont="1" applyFill="1" applyBorder="1" applyAlignment="1" applyProtection="1">
      <alignment horizontal="center" vertical="center" wrapText="1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25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textRotation="90"/>
    </xf>
    <xf numFmtId="0" fontId="14" fillId="0" borderId="1" xfId="0" applyFont="1" applyBorder="1" applyAlignment="1" applyProtection="1">
      <alignment horizontal="center" vertical="center"/>
    </xf>
    <xf numFmtId="0" fontId="0" fillId="0" borderId="2" xfId="0" applyBorder="1" applyAlignment="1">
      <alignment vertical="center"/>
    </xf>
    <xf numFmtId="0" fontId="15" fillId="0" borderId="4" xfId="0" quotePrefix="1" applyFont="1" applyBorder="1" applyAlignment="1" applyProtection="1">
      <alignment horizontal="center" vertical="center"/>
    </xf>
    <xf numFmtId="0" fontId="0" fillId="0" borderId="5" xfId="0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E4E4E4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101600</xdr:colOff>
      <xdr:row>0</xdr:row>
      <xdr:rowOff>203200</xdr:rowOff>
    </xdr:from>
    <xdr:to>
      <xdr:col>1</xdr:col>
      <xdr:colOff>330200</xdr:colOff>
      <xdr:row>3</xdr:row>
      <xdr:rowOff>101600</xdr:rowOff>
    </xdr:to>
    <xdr:pic>
      <xdr:nvPicPr>
        <xdr:cNvPr id="1127" name="Picture 1" descr="ACHER_s.png">
          <a:extLst>
            <a:ext uri="{FF2B5EF4-FFF2-40B4-BE49-F238E27FC236}">
              <a16:creationId xmlns:a16="http://schemas.microsoft.com/office/drawing/2014/main" id="{C71C3340-45FD-9C48-B88B-63AF638F6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03200"/>
          <a:ext cx="838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19</xdr:col>
      <xdr:colOff>825500</xdr:colOff>
      <xdr:row>1</xdr:row>
      <xdr:rowOff>88900</xdr:rowOff>
    </xdr:from>
    <xdr:to>
      <xdr:col>24</xdr:col>
      <xdr:colOff>114300</xdr:colOff>
      <xdr:row>7</xdr:row>
      <xdr:rowOff>292100</xdr:rowOff>
    </xdr:to>
    <xdr:grpSp>
      <xdr:nvGrpSpPr>
        <xdr:cNvPr id="1128" name="Group 4">
          <a:extLst>
            <a:ext uri="{FF2B5EF4-FFF2-40B4-BE49-F238E27FC236}">
              <a16:creationId xmlns:a16="http://schemas.microsoft.com/office/drawing/2014/main" id="{AB0502BD-F276-6E4C-870F-BB9859DBE5BE}"/>
            </a:ext>
          </a:extLst>
        </xdr:cNvPr>
        <xdr:cNvGrpSpPr>
          <a:grpSpLocks/>
        </xdr:cNvGrpSpPr>
      </xdr:nvGrpSpPr>
      <xdr:grpSpPr bwMode="auto">
        <a:xfrm>
          <a:off x="7620000" y="546100"/>
          <a:ext cx="3073400" cy="2463800"/>
          <a:chOff x="8877300" y="546100"/>
          <a:chExt cx="3581400" cy="2463800"/>
        </a:xfrm>
      </xdr:grpSpPr>
      <xdr:pic>
        <xdr:nvPicPr>
          <xdr:cNvPr id="1137" name="Picture 2">
            <a:extLst>
              <a:ext uri="{FF2B5EF4-FFF2-40B4-BE49-F238E27FC236}">
                <a16:creationId xmlns:a16="http://schemas.microsoft.com/office/drawing/2014/main" id="{2B175D7C-FEE0-B74F-A36F-A2B707ACA0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77300" y="546100"/>
            <a:ext cx="3581400" cy="2463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" name="TextBox 3">
            <a:extLst>
              <a:ext uri="{FF2B5EF4-FFF2-40B4-BE49-F238E27FC236}">
                <a16:creationId xmlns:a16="http://schemas.microsoft.com/office/drawing/2014/main" id="{59E8277E-3934-2540-9662-4167CEB30B27}"/>
              </a:ext>
            </a:extLst>
          </xdr:cNvPr>
          <xdr:cNvSpPr txBox="1"/>
        </xdr:nvSpPr>
        <xdr:spPr bwMode="auto">
          <a:xfrm>
            <a:off x="8980894" y="596900"/>
            <a:ext cx="3433408" cy="228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/>
          <a:p>
            <a:pPr algn="l" rtl="0">
              <a:lnSpc>
                <a:spcPts val="1600"/>
              </a:lnSpc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to use:</a:t>
            </a: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This template allows you to create the magic squares (from 3x3 to 9x9) for the numeric value of your choice.</a:t>
            </a: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Simply enter the numeric value of the name of the entity whose square you want to create in field "I6" and determine the appropriate handle. </a:t>
            </a:r>
          </a:p>
          <a:p>
            <a:pPr algn="l" rtl="0">
              <a:lnSpc>
                <a:spcPts val="1200"/>
              </a:lnSpc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 further reference you may want to consult Nineveh Shadrach's books "</a:t>
            </a:r>
            <a:r>
              <a:rPr lang="en-US" sz="1100" b="0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Encyclopedia of Magic Squares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 or "</a:t>
            </a:r>
            <a:r>
              <a:rPr lang="en-US" sz="1100" b="0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Magic That works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", together with Frances Harrison.</a:t>
            </a:r>
          </a:p>
        </xdr:txBody>
      </xdr:sp>
    </xdr:grpSp>
    <xdr:clientData/>
  </xdr:twoCellAnchor>
  <xdr:twoCellAnchor editAs="oneCell">
    <xdr:from>
      <xdr:col>2</xdr:col>
      <xdr:colOff>215900</xdr:colOff>
      <xdr:row>8</xdr:row>
      <xdr:rowOff>50800</xdr:rowOff>
    </xdr:from>
    <xdr:to>
      <xdr:col>8</xdr:col>
      <xdr:colOff>88900</xdr:colOff>
      <xdr:row>9</xdr:row>
      <xdr:rowOff>63500</xdr:rowOff>
    </xdr:to>
    <xdr:pic>
      <xdr:nvPicPr>
        <xdr:cNvPr id="1129" name="Picture 6" descr="screen-capture-5.png">
          <a:extLst>
            <a:ext uri="{FF2B5EF4-FFF2-40B4-BE49-F238E27FC236}">
              <a16:creationId xmlns:a16="http://schemas.microsoft.com/office/drawing/2014/main" id="{7A937B96-9400-7F42-9DB3-07FDA92AE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225800"/>
          <a:ext cx="7112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101600</xdr:rowOff>
    </xdr:from>
    <xdr:to>
      <xdr:col>8</xdr:col>
      <xdr:colOff>88900</xdr:colOff>
      <xdr:row>21</xdr:row>
      <xdr:rowOff>101600</xdr:rowOff>
    </xdr:to>
    <xdr:pic>
      <xdr:nvPicPr>
        <xdr:cNvPr id="1130" name="Picture 7" descr="screen-capture-6.png">
          <a:extLst>
            <a:ext uri="{FF2B5EF4-FFF2-40B4-BE49-F238E27FC236}">
              <a16:creationId xmlns:a16="http://schemas.microsoft.com/office/drawing/2014/main" id="{639B07C5-6BC3-2646-8B92-184980344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8483600"/>
          <a:ext cx="6858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12700</xdr:colOff>
      <xdr:row>32</xdr:row>
      <xdr:rowOff>101600</xdr:rowOff>
    </xdr:from>
    <xdr:to>
      <xdr:col>8</xdr:col>
      <xdr:colOff>88900</xdr:colOff>
      <xdr:row>33</xdr:row>
      <xdr:rowOff>127000</xdr:rowOff>
    </xdr:to>
    <xdr:pic>
      <xdr:nvPicPr>
        <xdr:cNvPr id="1131" name="Picture 8" descr="screen-capture-7.png">
          <a:extLst>
            <a:ext uri="{FF2B5EF4-FFF2-40B4-BE49-F238E27FC236}">
              <a16:creationId xmlns:a16="http://schemas.microsoft.com/office/drawing/2014/main" id="{63199FD7-9F7E-084B-9FE1-971DA7F07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3665200"/>
          <a:ext cx="673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44</xdr:row>
      <xdr:rowOff>63500</xdr:rowOff>
    </xdr:from>
    <xdr:to>
      <xdr:col>8</xdr:col>
      <xdr:colOff>114300</xdr:colOff>
      <xdr:row>45</xdr:row>
      <xdr:rowOff>76200</xdr:rowOff>
    </xdr:to>
    <xdr:pic>
      <xdr:nvPicPr>
        <xdr:cNvPr id="1132" name="Picture 9" descr="screen-capture-8.png">
          <a:extLst>
            <a:ext uri="{FF2B5EF4-FFF2-40B4-BE49-F238E27FC236}">
              <a16:creationId xmlns:a16="http://schemas.microsoft.com/office/drawing/2014/main" id="{B63734C6-27B0-1540-BCCA-9D53755AF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0" y="18808700"/>
          <a:ext cx="7239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203200</xdr:colOff>
      <xdr:row>56</xdr:row>
      <xdr:rowOff>114300</xdr:rowOff>
    </xdr:from>
    <xdr:to>
      <xdr:col>8</xdr:col>
      <xdr:colOff>114300</xdr:colOff>
      <xdr:row>57</xdr:row>
      <xdr:rowOff>152400</xdr:rowOff>
    </xdr:to>
    <xdr:pic>
      <xdr:nvPicPr>
        <xdr:cNvPr id="1133" name="Picture 10" descr="screen-capture-9.png">
          <a:extLst>
            <a:ext uri="{FF2B5EF4-FFF2-40B4-BE49-F238E27FC236}">
              <a16:creationId xmlns:a16="http://schemas.microsoft.com/office/drawing/2014/main" id="{00B4452E-49B0-D24D-8CBF-EBF6CACEC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" y="24041100"/>
          <a:ext cx="7493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203200</xdr:colOff>
      <xdr:row>68</xdr:row>
      <xdr:rowOff>88900</xdr:rowOff>
    </xdr:from>
    <xdr:to>
      <xdr:col>8</xdr:col>
      <xdr:colOff>190500</xdr:colOff>
      <xdr:row>69</xdr:row>
      <xdr:rowOff>177800</xdr:rowOff>
    </xdr:to>
    <xdr:pic>
      <xdr:nvPicPr>
        <xdr:cNvPr id="1134" name="Picture 11" descr="screen-capture-10.png">
          <a:extLst>
            <a:ext uri="{FF2B5EF4-FFF2-40B4-BE49-F238E27FC236}">
              <a16:creationId xmlns:a16="http://schemas.microsoft.com/office/drawing/2014/main" id="{C07E605E-FEBA-394D-B1C0-C0B017DF8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" y="29197300"/>
          <a:ext cx="8255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12700</xdr:colOff>
      <xdr:row>81</xdr:row>
      <xdr:rowOff>88900</xdr:rowOff>
    </xdr:from>
    <xdr:to>
      <xdr:col>8</xdr:col>
      <xdr:colOff>139700</xdr:colOff>
      <xdr:row>82</xdr:row>
      <xdr:rowOff>152400</xdr:rowOff>
    </xdr:to>
    <xdr:pic>
      <xdr:nvPicPr>
        <xdr:cNvPr id="1135" name="Picture 12" descr="screen-capture-11.png">
          <a:extLst>
            <a:ext uri="{FF2B5EF4-FFF2-40B4-BE49-F238E27FC236}">
              <a16:creationId xmlns:a16="http://schemas.microsoft.com/office/drawing/2014/main" id="{5A00359C-64C4-CB4E-B5FA-1EF32E35B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4810700"/>
          <a:ext cx="723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2</xdr:row>
      <xdr:rowOff>76200</xdr:rowOff>
    </xdr:from>
    <xdr:to>
      <xdr:col>16</xdr:col>
      <xdr:colOff>127000</xdr:colOff>
      <xdr:row>4</xdr:row>
      <xdr:rowOff>12700</xdr:rowOff>
    </xdr:to>
    <xdr:pic>
      <xdr:nvPicPr>
        <xdr:cNvPr id="1136" name="Picture 13" descr="screen-capture-13.png">
          <a:extLst>
            <a:ext uri="{FF2B5EF4-FFF2-40B4-BE49-F238E27FC236}">
              <a16:creationId xmlns:a16="http://schemas.microsoft.com/office/drawing/2014/main" id="{8A055F67-3619-6E4F-B301-03B8153C9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0" y="825500"/>
          <a:ext cx="42926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101600</xdr:rowOff>
    </xdr:from>
    <xdr:to>
      <xdr:col>1</xdr:col>
      <xdr:colOff>342900</xdr:colOff>
      <xdr:row>4</xdr:row>
      <xdr:rowOff>190500</xdr:rowOff>
    </xdr:to>
    <xdr:pic>
      <xdr:nvPicPr>
        <xdr:cNvPr id="2066" name="Picture 1" descr="ACHER_s.png">
          <a:extLst>
            <a:ext uri="{FF2B5EF4-FFF2-40B4-BE49-F238E27FC236}">
              <a16:creationId xmlns:a16="http://schemas.microsoft.com/office/drawing/2014/main" id="{9B619F3A-8CA0-104E-B061-B9CC63292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1600"/>
          <a:ext cx="838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723900</xdr:colOff>
      <xdr:row>2</xdr:row>
      <xdr:rowOff>190500</xdr:rowOff>
    </xdr:from>
    <xdr:to>
      <xdr:col>12</xdr:col>
      <xdr:colOff>139700</xdr:colOff>
      <xdr:row>4</xdr:row>
      <xdr:rowOff>177800</xdr:rowOff>
    </xdr:to>
    <xdr:pic>
      <xdr:nvPicPr>
        <xdr:cNvPr id="2067" name="Picture 1" descr="screen-capture-12.png">
          <a:extLst>
            <a:ext uri="{FF2B5EF4-FFF2-40B4-BE49-F238E27FC236}">
              <a16:creationId xmlns:a16="http://schemas.microsoft.com/office/drawing/2014/main" id="{D7ECC13F-EA0A-0D4D-ACC9-9B7526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300" y="698500"/>
          <a:ext cx="2654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264"/>
  <sheetViews>
    <sheetView showGridLines="0" tabSelected="1" zoomScaleNormal="100" workbookViewId="0">
      <selection activeCell="I6" sqref="I6"/>
    </sheetView>
  </sheetViews>
  <sheetFormatPr baseColWidth="10" defaultColWidth="6.1640625" defaultRowHeight="36" customHeight="1"/>
  <cols>
    <col min="1" max="1" width="8" style="102" customWidth="1"/>
    <col min="2" max="2" width="5.6640625" style="102" customWidth="1"/>
    <col min="3" max="3" width="3.1640625" style="1" customWidth="1"/>
    <col min="4" max="4" width="7.83203125" style="1" customWidth="1"/>
    <col min="5" max="5" width="9.6640625" style="1" hidden="1" customWidth="1"/>
    <col min="6" max="7" width="6.1640625" style="1" hidden="1" customWidth="1"/>
    <col min="8" max="8" width="5.83203125" style="1" hidden="1" customWidth="1"/>
    <col min="9" max="18" width="5.83203125" style="8" customWidth="1"/>
    <col min="19" max="19" width="6.1640625" style="8"/>
    <col min="20" max="20" width="17" style="1" customWidth="1"/>
    <col min="21" max="23" width="8.83203125" style="1" customWidth="1"/>
    <col min="24" max="25" width="6.1640625" style="1"/>
    <col min="26" max="26" width="9" style="1" hidden="1" customWidth="1"/>
    <col min="27" max="27" width="6.1640625" style="1" hidden="1" customWidth="1"/>
    <col min="28" max="28" width="9.1640625" style="1" hidden="1" customWidth="1"/>
    <col min="29" max="33" width="6.1640625" style="1" hidden="1" customWidth="1"/>
    <col min="34" max="34" width="3.6640625" style="1" hidden="1" customWidth="1"/>
    <col min="35" max="40" width="8.1640625" style="1" hidden="1" customWidth="1"/>
    <col min="41" max="48" width="6.1640625" style="1" hidden="1" customWidth="1"/>
    <col min="49" max="49" width="17.5" style="1" hidden="1" customWidth="1"/>
    <col min="50" max="51" width="6.1640625" style="1" hidden="1" customWidth="1"/>
    <col min="52" max="52" width="8.83203125" style="1" hidden="1" customWidth="1"/>
    <col min="53" max="53" width="17" style="1" hidden="1" customWidth="1"/>
    <col min="54" max="54" width="11.33203125" style="1" hidden="1" customWidth="1"/>
    <col min="55" max="56" width="9.5" style="1" customWidth="1"/>
    <col min="57" max="57" width="3" style="1" customWidth="1"/>
    <col min="58" max="59" width="0" style="1" hidden="1" customWidth="1"/>
    <col min="60" max="60" width="3.1640625" style="1" customWidth="1"/>
    <col min="61" max="64" width="9.33203125" style="128" customWidth="1"/>
    <col min="65" max="186" width="6.1640625" style="128"/>
    <col min="187" max="16384" width="6.1640625" style="1"/>
  </cols>
  <sheetData>
    <row r="1" spans="1:65" s="128" customFormat="1" ht="36" customHeight="1" thickBot="1">
      <c r="A1" s="102"/>
      <c r="B1" s="102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65" ht="23" customHeight="1">
      <c r="B2" s="14"/>
      <c r="C2" s="129"/>
      <c r="D2" s="129"/>
      <c r="E2" s="129"/>
      <c r="F2" s="129"/>
      <c r="G2" s="129"/>
      <c r="H2" s="129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31"/>
    </row>
    <row r="3" spans="1:65" ht="36" customHeight="1">
      <c r="B3" s="14"/>
      <c r="C3" s="132"/>
      <c r="D3" s="132"/>
      <c r="E3" s="59"/>
      <c r="F3" s="59"/>
      <c r="G3" s="59"/>
      <c r="H3" s="59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133"/>
    </row>
    <row r="4" spans="1:65" ht="15" customHeight="1">
      <c r="B4" s="14"/>
      <c r="C4" s="132"/>
      <c r="D4" s="59"/>
      <c r="E4" s="59"/>
      <c r="F4" s="59"/>
      <c r="G4" s="59"/>
      <c r="H4" s="59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133"/>
    </row>
    <row r="5" spans="1:65" ht="32" customHeight="1" thickBot="1">
      <c r="B5" s="77"/>
      <c r="C5" s="59"/>
      <c r="D5" s="59"/>
      <c r="E5" s="59"/>
      <c r="F5" s="59"/>
      <c r="G5" s="59"/>
      <c r="H5" s="59"/>
      <c r="I5" s="134" t="s">
        <v>230</v>
      </c>
      <c r="J5" s="59"/>
      <c r="K5" s="59"/>
      <c r="L5" s="59"/>
      <c r="M5" s="59"/>
      <c r="N5" s="59"/>
      <c r="O5" s="59"/>
      <c r="P5" s="59"/>
      <c r="Q5" s="59"/>
      <c r="R5" s="59"/>
      <c r="S5" s="134" t="s">
        <v>231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133"/>
    </row>
    <row r="6" spans="1:65" ht="36" customHeight="1">
      <c r="B6" s="77"/>
      <c r="C6" s="2"/>
      <c r="D6" s="42" t="s">
        <v>128</v>
      </c>
      <c r="E6" s="42"/>
      <c r="F6" s="3"/>
      <c r="G6" s="3"/>
      <c r="H6" s="3"/>
      <c r="I6" s="169"/>
      <c r="J6" s="59"/>
      <c r="K6" s="187"/>
      <c r="L6" s="48" t="s">
        <v>13</v>
      </c>
      <c r="M6" s="52" t="s">
        <v>10</v>
      </c>
      <c r="N6" s="50" t="s">
        <v>15</v>
      </c>
      <c r="O6" s="52" t="s">
        <v>12</v>
      </c>
      <c r="P6" s="50" t="s">
        <v>144</v>
      </c>
      <c r="Q6" s="52" t="s">
        <v>146</v>
      </c>
      <c r="R6" s="50" t="s">
        <v>127</v>
      </c>
      <c r="S6" s="55" t="s">
        <v>148</v>
      </c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133"/>
    </row>
    <row r="7" spans="1:65" ht="36" customHeight="1" thickBot="1">
      <c r="B7" s="77"/>
      <c r="C7" s="5"/>
      <c r="D7" s="43" t="s">
        <v>130</v>
      </c>
      <c r="E7" s="43"/>
      <c r="F7" s="6"/>
      <c r="G7" s="6"/>
      <c r="H7" s="6"/>
      <c r="I7" s="170"/>
      <c r="J7" s="59"/>
      <c r="K7" s="187"/>
      <c r="L7" s="49" t="s">
        <v>14</v>
      </c>
      <c r="M7" s="53" t="s">
        <v>11</v>
      </c>
      <c r="N7" s="51" t="s">
        <v>8</v>
      </c>
      <c r="O7" s="53" t="s">
        <v>145</v>
      </c>
      <c r="P7" s="51" t="s">
        <v>9</v>
      </c>
      <c r="Q7" s="53" t="s">
        <v>147</v>
      </c>
      <c r="R7" s="51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133"/>
    </row>
    <row r="8" spans="1:65" ht="36" customHeight="1" thickBot="1">
      <c r="B8" s="77"/>
      <c r="C8" s="59"/>
      <c r="D8" s="59"/>
      <c r="E8" s="59"/>
      <c r="F8" s="59"/>
      <c r="G8" s="59"/>
      <c r="H8" s="59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133"/>
    </row>
    <row r="9" spans="1:65" ht="36" customHeight="1" thickBot="1">
      <c r="B9" s="77"/>
      <c r="C9" s="2"/>
      <c r="D9" s="34"/>
      <c r="E9" s="34"/>
      <c r="F9" s="3"/>
      <c r="G9" s="3"/>
      <c r="H9" s="3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3"/>
      <c r="U9" s="180" t="s">
        <v>136</v>
      </c>
      <c r="V9" s="180"/>
      <c r="W9" s="180"/>
      <c r="X9" s="4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181" t="s">
        <v>195</v>
      </c>
      <c r="BD9" s="182"/>
      <c r="BE9" s="59"/>
      <c r="BF9" s="59"/>
      <c r="BG9" s="59"/>
      <c r="BH9" s="59"/>
      <c r="BI9" s="184" t="s">
        <v>288</v>
      </c>
      <c r="BJ9" s="185"/>
      <c r="BK9" s="185"/>
      <c r="BL9" s="186"/>
      <c r="BM9" s="133"/>
    </row>
    <row r="10" spans="1:65" ht="34" customHeight="1" thickBot="1">
      <c r="B10" s="77"/>
      <c r="C10" s="9"/>
      <c r="D10" s="14"/>
      <c r="E10" s="10"/>
      <c r="F10" s="11" t="s">
        <v>6</v>
      </c>
      <c r="G10" s="11" t="s">
        <v>7</v>
      </c>
      <c r="H10" s="10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5" t="s">
        <v>101</v>
      </c>
      <c r="V10" s="15" t="s">
        <v>102</v>
      </c>
      <c r="W10" s="15" t="s">
        <v>103</v>
      </c>
      <c r="X10" s="16"/>
      <c r="Y10" s="59"/>
      <c r="Z10" s="99" t="s">
        <v>232</v>
      </c>
      <c r="AA10" s="92"/>
      <c r="AB10" s="74" t="s">
        <v>233</v>
      </c>
      <c r="AC10" s="75" t="s">
        <v>234</v>
      </c>
      <c r="AD10" s="75" t="s">
        <v>235</v>
      </c>
      <c r="AE10" s="75" t="s">
        <v>236</v>
      </c>
      <c r="AF10" s="75" t="s">
        <v>237</v>
      </c>
      <c r="AG10" s="76" t="s">
        <v>238</v>
      </c>
      <c r="AH10" s="59"/>
      <c r="AI10" s="74" t="s">
        <v>233</v>
      </c>
      <c r="AJ10" s="75" t="s">
        <v>234</v>
      </c>
      <c r="AK10" s="75" t="s">
        <v>235</v>
      </c>
      <c r="AL10" s="75" t="s">
        <v>236</v>
      </c>
      <c r="AM10" s="75" t="s">
        <v>237</v>
      </c>
      <c r="AN10" s="76" t="s">
        <v>238</v>
      </c>
      <c r="AO10" s="92"/>
      <c r="AP10" s="74" t="s">
        <v>100</v>
      </c>
      <c r="AQ10" s="75" t="s">
        <v>99</v>
      </c>
      <c r="AR10" s="75" t="s">
        <v>236</v>
      </c>
      <c r="AS10" s="75" t="s">
        <v>98</v>
      </c>
      <c r="AT10" s="75" t="s">
        <v>97</v>
      </c>
      <c r="AU10" s="76" t="s">
        <v>96</v>
      </c>
      <c r="AV10" s="59"/>
      <c r="AW10" s="99" t="s">
        <v>207</v>
      </c>
      <c r="AX10" s="59"/>
      <c r="AY10" s="188" t="s">
        <v>16</v>
      </c>
      <c r="AZ10" s="189"/>
      <c r="BA10" s="189"/>
      <c r="BB10" s="189"/>
      <c r="BC10" s="108" t="s">
        <v>228</v>
      </c>
      <c r="BD10" s="109" t="s">
        <v>229</v>
      </c>
      <c r="BE10" s="59"/>
      <c r="BF10" s="59"/>
      <c r="BG10" s="59"/>
      <c r="BH10" s="59"/>
      <c r="BI10" s="141" t="s">
        <v>241</v>
      </c>
      <c r="BJ10" s="117" t="s">
        <v>16</v>
      </c>
      <c r="BK10" s="117" t="s">
        <v>18</v>
      </c>
      <c r="BL10" s="118" t="s">
        <v>19</v>
      </c>
      <c r="BM10" s="133"/>
    </row>
    <row r="11" spans="1:65" ht="34" customHeight="1" thickBot="1">
      <c r="B11" s="77"/>
      <c r="C11" s="9"/>
      <c r="D11" s="14"/>
      <c r="E11" s="10" t="s">
        <v>104</v>
      </c>
      <c r="F11" s="10">
        <v>9</v>
      </c>
      <c r="G11" s="17" t="s">
        <v>105</v>
      </c>
      <c r="H11" s="10"/>
      <c r="I11" s="23">
        <f>G14+($I$7*3)</f>
        <v>0</v>
      </c>
      <c r="J11" s="24">
        <f>G14+($I$7*8)+G16</f>
        <v>0</v>
      </c>
      <c r="K11" s="37">
        <f>G14+($I$7*1)</f>
        <v>0</v>
      </c>
      <c r="L11" s="13"/>
      <c r="M11" s="13"/>
      <c r="N11" s="13"/>
      <c r="O11" s="13"/>
      <c r="P11" s="13"/>
      <c r="Q11" s="13"/>
      <c r="R11" s="13"/>
      <c r="S11" s="58"/>
      <c r="T11" s="18" t="s">
        <v>106</v>
      </c>
      <c r="U11" s="57">
        <f>J13</f>
        <v>0</v>
      </c>
      <c r="V11" s="57" t="str">
        <f>IF(U11-31&lt;0,"",U11-31)</f>
        <v/>
      </c>
      <c r="W11" s="57" t="str">
        <f>IF(U11-41&lt;0,"",U11-41)</f>
        <v/>
      </c>
      <c r="X11" s="16"/>
      <c r="Y11" s="59"/>
      <c r="Z11" s="88">
        <f>LEN(U11)</f>
        <v>1</v>
      </c>
      <c r="AA11" s="59"/>
      <c r="AB11" s="91">
        <f>IF(ISERROR(VALUE(LEFT(U11,1))),"",VALUE(LEFT(U11,1)))</f>
        <v>0</v>
      </c>
      <c r="AC11" s="92" t="str">
        <f>IF(ISERROR(VALUE(MID(U11,2,1))),"",VALUE(MID(U11,2,1)))</f>
        <v/>
      </c>
      <c r="AD11" s="92" t="str">
        <f>IF(ISERROR(VALUE(MID(U11,3,1))),"",VALUE(MID(U11,3,1)))</f>
        <v/>
      </c>
      <c r="AE11" s="92" t="str">
        <f>IF(ISERROR(VALUE(MID(U11,4,1))),"",VALUE(MID(U11,4,1)))</f>
        <v/>
      </c>
      <c r="AF11" s="92" t="str">
        <f>IF(ISERROR(VALUE(MID(U11,5,1))),"",VALUE(MID(U11,5,1)))</f>
        <v/>
      </c>
      <c r="AG11" s="93" t="str">
        <f>IF(ISERROR(VALUE(MID(U11,6,1))),"",VALUE(MID(U11,6,1)))</f>
        <v/>
      </c>
      <c r="AH11" s="59"/>
      <c r="AI11" s="91">
        <f>IF($Z11=1,AB11,IF($Z11=2,AB11*10,IF($Z11=3,AB11*100,IF($Z11=4,AB11*1000,IF($Z11=5,AB11*10000,IF($Z11=6,AB11*100000,))))))</f>
        <v>0</v>
      </c>
      <c r="AJ11" s="92" t="str">
        <f>IF($Z11=1,"",IF($Z11=2,AC11*1,IF($Z11=3,AC11*10,IF($Z11=4,AC11*100,IF($Z11=5,AC11*1000,IF($Z11=6,AC11*10000,))))))</f>
        <v/>
      </c>
      <c r="AK11" s="92" t="str">
        <f>IF($Z11=1,"",IF($Z11=2,"",IF($Z11=3,AD11*1,IF($Z11=4,AD11*10,IF($Z11=5,AD11*100,IF($Z11=6,AD11*1000,))))))</f>
        <v/>
      </c>
      <c r="AL11" s="92" t="str">
        <f>IF($Z11=1,"",IF($Z11=2,"",IF($Z11=3,"",IF($Z11=4,AE11*1,IF($Z11=5,AE11*10,IF($Z11=6,AE11*100,))))))</f>
        <v/>
      </c>
      <c r="AM11" s="92" t="str">
        <f>IF($Z11=1,"",IF($Z11=2,"",IF($Z11=3,"",IF($Z11=4,"",IF($Z11=5,AF11*1,IF($Z11=6,AF11*10,))))))</f>
        <v/>
      </c>
      <c r="AN11" s="93" t="str">
        <f>IF($Z11=1,"",IF($Z11=2,"",IF($Z11=3,"",IF($Z11=4,"",IF($Z11=5,"",IF($Z11=6,AG11*1,))))))</f>
        <v/>
      </c>
      <c r="AO11" s="59"/>
      <c r="AP11" s="82" t="str">
        <f>IF(AN11="","",IF(AN11=0,"",VLOOKUP(AN11,$AY$13:$AZ$66,2,FALSE)))</f>
        <v/>
      </c>
      <c r="AQ11" s="83" t="str">
        <f>IF(AM11="","",IF(AM11=0,"",VLOOKUP(AM11,$AY$13:$AZ$66,2,FALSE)))</f>
        <v/>
      </c>
      <c r="AR11" s="83" t="str">
        <f>IF(AL11="","",IF(AL11=0,"",VLOOKUP(AL11,$AY$13:$AZ$66,2,FALSE)))</f>
        <v/>
      </c>
      <c r="AS11" s="83" t="str">
        <f>IF(AK11="","",IF(AK11=0,"",VLOOKUP(AK11,$AY$13:$AZ$66,2,FALSE)))</f>
        <v/>
      </c>
      <c r="AT11" s="83" t="str">
        <f>IF(AJ11="","",IF(AJ11=0,"",VLOOKUP(AJ11,$AY$13:$AZ$66,2,FALSE)))</f>
        <v/>
      </c>
      <c r="AU11" s="84" t="str">
        <f>IF(AI11="","",IF(AI11=0,"",VLOOKUP(AI11,$AY$13:$AZ$66,2,FALSE)))</f>
        <v/>
      </c>
      <c r="AV11" s="59"/>
      <c r="AW11" s="100" t="str">
        <f>"la"&amp;AP11&amp;AQ11&amp;AR11&amp;AS11&amp;AT11&amp;AU11</f>
        <v>la</v>
      </c>
      <c r="AX11" s="59"/>
      <c r="AY11" s="190" t="s">
        <v>17</v>
      </c>
      <c r="AZ11" s="191"/>
      <c r="BA11" s="191"/>
      <c r="BB11" s="191"/>
      <c r="BC11" s="110" t="str">
        <f>IF(ISERROR(MATCH(V11,'Nomina Barbara'!$C$11:$C$199,0)),"","YES")</f>
        <v/>
      </c>
      <c r="BD11" s="111" t="str">
        <f>IF(ISERROR(MATCH(W11,'Nomina Barbara'!$C$11:$C$199,0)),"","YES")</f>
        <v/>
      </c>
      <c r="BE11" s="59"/>
      <c r="BF11" s="59"/>
      <c r="BG11" s="59"/>
      <c r="BH11" s="59"/>
      <c r="BI11" s="157">
        <v>1</v>
      </c>
      <c r="BJ11" s="174" t="s">
        <v>21</v>
      </c>
      <c r="BK11" s="123" t="s">
        <v>242</v>
      </c>
      <c r="BL11" s="124" t="s">
        <v>243</v>
      </c>
      <c r="BM11" s="133"/>
    </row>
    <row r="12" spans="1:65" ht="34" customHeight="1">
      <c r="B12" s="77"/>
      <c r="C12" s="9"/>
      <c r="D12" s="14"/>
      <c r="E12" s="10" t="s">
        <v>107</v>
      </c>
      <c r="F12" s="10">
        <f>(F11-1)*I7</f>
        <v>0</v>
      </c>
      <c r="G12" s="17" t="s">
        <v>108</v>
      </c>
      <c r="H12" s="10"/>
      <c r="I12" s="26">
        <f>G14+($I$7*2)</f>
        <v>0</v>
      </c>
      <c r="J12" s="19">
        <f>G14+($I$7*4)</f>
        <v>0</v>
      </c>
      <c r="K12" s="38">
        <f>G14+($I$7*6)+G16</f>
        <v>0</v>
      </c>
      <c r="L12" s="13"/>
      <c r="M12" s="13"/>
      <c r="N12" s="13"/>
      <c r="O12" s="13"/>
      <c r="P12" s="13"/>
      <c r="Q12" s="13"/>
      <c r="R12" s="13"/>
      <c r="S12" s="58"/>
      <c r="T12" s="18" t="s">
        <v>109</v>
      </c>
      <c r="U12" s="57">
        <f>J11</f>
        <v>0</v>
      </c>
      <c r="V12" s="57" t="str">
        <f t="shared" ref="V12:V18" si="0">IF(U12-31&lt;0,"",U12-31)</f>
        <v/>
      </c>
      <c r="W12" s="57" t="str">
        <f t="shared" ref="W12:W18" si="1">IF(U12-41&lt;0,"",U12-41)</f>
        <v/>
      </c>
      <c r="X12" s="16"/>
      <c r="Y12" s="59"/>
      <c r="Z12" s="88">
        <f t="shared" ref="Z12:Z18" si="2">LEN(U12)</f>
        <v>1</v>
      </c>
      <c r="AA12" s="59"/>
      <c r="AB12" s="91">
        <f t="shared" ref="AB12:AB18" si="3">IF(ISERROR(VALUE(LEFT(U12,1))),"",VALUE(LEFT(U12,1)))</f>
        <v>0</v>
      </c>
      <c r="AC12" s="92" t="str">
        <f t="shared" ref="AC12:AC18" si="4">IF(ISERROR(VALUE(MID(U12,2,1))),"",VALUE(MID(U12,2,1)))</f>
        <v/>
      </c>
      <c r="AD12" s="92" t="str">
        <f t="shared" ref="AD12:AD18" si="5">IF(ISERROR(VALUE(MID(U12,3,1))),"",VALUE(MID(U12,3,1)))</f>
        <v/>
      </c>
      <c r="AE12" s="92" t="str">
        <f t="shared" ref="AE12:AE18" si="6">IF(ISERROR(VALUE(MID(U12,4,1))),"",VALUE(MID(U12,4,1)))</f>
        <v/>
      </c>
      <c r="AF12" s="92" t="str">
        <f t="shared" ref="AF12:AF18" si="7">IF(ISERROR(VALUE(MID(U12,5,1))),"",VALUE(MID(U12,5,1)))</f>
        <v/>
      </c>
      <c r="AG12" s="93" t="str">
        <f t="shared" ref="AG12:AG18" si="8">IF(ISERROR(VALUE(MID(U12,6,1))),"",VALUE(MID(U12,6,1)))</f>
        <v/>
      </c>
      <c r="AH12" s="59"/>
      <c r="AI12" s="91">
        <f t="shared" ref="AI12:AI18" si="9">IF(Z12=1,AB12,IF(Z12=2,AB12*10,IF(Z12=3,AB12*100,IF(Z12=4,AB12*1000,IF(Z12=5,AB12*10000,IF(Z12=6,AB12*100000,))))))</f>
        <v>0</v>
      </c>
      <c r="AJ12" s="92" t="str">
        <f t="shared" ref="AJ12:AJ18" si="10">IF($Z12=1,"",IF($Z12=2,AC12*1,IF($Z12=3,AC12*10,IF($Z12=4,AC12*100,IF($Z12=5,AC12*1000,IF($Z12=6,AC12*10000,))))))</f>
        <v/>
      </c>
      <c r="AK12" s="92" t="str">
        <f t="shared" ref="AK12:AK18" si="11">IF($Z12=1,"",IF($Z12=2,"",IF($Z12=3,AD12*1,IF($Z12=4,AD12*10,IF($Z12=5,AD12*100,IF($Z12=6,AD12*1000,))))))</f>
        <v/>
      </c>
      <c r="AL12" s="92" t="str">
        <f t="shared" ref="AL12:AL18" si="12">IF($Z12=1,"",IF($Z12=2,"",IF($Z12=3,"",IF($Z12=4,AE12*1,IF($Z12=5,AE12*10,IF($Z12=6,AE12*100,))))))</f>
        <v/>
      </c>
      <c r="AM12" s="92" t="str">
        <f t="shared" ref="AM12:AM18" si="13">IF($Z12=1,"",IF($Z12=2,"",IF($Z12=3,"",IF($Z12=4,"",IF($Z12=5,AF12*1,IF($Z12=6,AF12*10,))))))</f>
        <v/>
      </c>
      <c r="AN12" s="93" t="str">
        <f t="shared" ref="AN12:AN18" si="14">IF($Z12=1,"",IF($Z12=2,"",IF($Z12=3,"",IF($Z12=4,"",IF($Z12=5,"",IF($Z12=6,AG12*1,))))))</f>
        <v/>
      </c>
      <c r="AO12" s="59"/>
      <c r="AP12" s="82" t="str">
        <f t="shared" ref="AP12:AP18" si="15">IF(AN12="","",IF(AN12=0,"",VLOOKUP(AN12,$AY$13:$AZ$66,2,FALSE)))</f>
        <v/>
      </c>
      <c r="AQ12" s="83" t="str">
        <f t="shared" ref="AQ12:AQ18" si="16">IF(AM12="","",IF(AM12=0,"",VLOOKUP(AM12,$AY$13:$AZ$66,2,FALSE)))</f>
        <v/>
      </c>
      <c r="AR12" s="83" t="str">
        <f t="shared" ref="AR12:AR18" si="17">IF(AL12="","",IF(AL12=0,"",VLOOKUP(AL12,$AY$13:$AZ$66,2,FALSE)))</f>
        <v/>
      </c>
      <c r="AS12" s="83" t="str">
        <f t="shared" ref="AS12:AS18" si="18">IF(AK12="","",IF(AK12=0,"",VLOOKUP(AK12,$AY$13:$AZ$66,2,FALSE)))</f>
        <v/>
      </c>
      <c r="AT12" s="83" t="str">
        <f t="shared" ref="AT12:AT18" si="19">IF(AJ12="","",IF(AJ12=0,"",VLOOKUP(AJ12,$AY$13:$AZ$66,2,FALSE)))</f>
        <v/>
      </c>
      <c r="AU12" s="84" t="str">
        <f t="shared" ref="AU12:AU18" si="20">IF(AI12="","",IF(AI12=0,"",VLOOKUP(AI12,$AY$13:$AZ$66,2,FALSE)))</f>
        <v/>
      </c>
      <c r="AV12" s="59"/>
      <c r="AW12" s="100" t="str">
        <f t="shared" ref="AW12:AW18" si="21">"la"&amp;AP12&amp;AQ12&amp;AR12&amp;AS12&amp;AT12&amp;AU12</f>
        <v>la</v>
      </c>
      <c r="AX12" s="59"/>
      <c r="AY12" s="60" t="s">
        <v>20</v>
      </c>
      <c r="AZ12" s="61" t="s">
        <v>16</v>
      </c>
      <c r="BA12" s="61" t="s">
        <v>18</v>
      </c>
      <c r="BB12" s="61" t="s">
        <v>19</v>
      </c>
      <c r="BC12" s="110" t="str">
        <f>IF(ISERROR(MATCH(V12,'Nomina Barbara'!$C$11:$C$199,0)),"","YES")</f>
        <v/>
      </c>
      <c r="BD12" s="111" t="str">
        <f>IF(ISERROR(MATCH(W12,'Nomina Barbara'!$C$11:$C$199,0)),"","YES")</f>
        <v/>
      </c>
      <c r="BE12" s="59"/>
      <c r="BF12" s="59"/>
      <c r="BG12" s="59"/>
      <c r="BH12" s="59"/>
      <c r="BI12" s="149">
        <v>2</v>
      </c>
      <c r="BJ12" s="175" t="s">
        <v>24</v>
      </c>
      <c r="BK12" s="120" t="s">
        <v>244</v>
      </c>
      <c r="BL12" s="121" t="s">
        <v>245</v>
      </c>
      <c r="BM12" s="133"/>
    </row>
    <row r="13" spans="1:65" ht="34" customHeight="1" thickBot="1">
      <c r="B13" s="77"/>
      <c r="C13" s="9"/>
      <c r="D13" s="14"/>
      <c r="E13" s="10" t="s">
        <v>3</v>
      </c>
      <c r="F13" s="10">
        <f>3/2</f>
        <v>1.5</v>
      </c>
      <c r="G13" s="17" t="s">
        <v>108</v>
      </c>
      <c r="H13" s="10"/>
      <c r="I13" s="39">
        <f>G14+($I$7*7)+G16</f>
        <v>0</v>
      </c>
      <c r="J13" s="40">
        <f>G14</f>
        <v>0</v>
      </c>
      <c r="K13" s="41">
        <f>G14+($I$7*5)</f>
        <v>0</v>
      </c>
      <c r="L13" s="13"/>
      <c r="M13" s="13"/>
      <c r="N13" s="13"/>
      <c r="O13" s="13"/>
      <c r="P13" s="13"/>
      <c r="Q13" s="13"/>
      <c r="R13" s="13"/>
      <c r="S13" s="58"/>
      <c r="T13" s="18" t="s">
        <v>110</v>
      </c>
      <c r="U13" s="57">
        <f>SUM(U11:U12)</f>
        <v>0</v>
      </c>
      <c r="V13" s="57" t="str">
        <f t="shared" si="0"/>
        <v/>
      </c>
      <c r="W13" s="57" t="str">
        <f t="shared" si="1"/>
        <v/>
      </c>
      <c r="X13" s="16"/>
      <c r="Y13" s="59"/>
      <c r="Z13" s="88">
        <f t="shared" si="2"/>
        <v>1</v>
      </c>
      <c r="AA13" s="59"/>
      <c r="AB13" s="91">
        <f t="shared" si="3"/>
        <v>0</v>
      </c>
      <c r="AC13" s="92" t="str">
        <f t="shared" si="4"/>
        <v/>
      </c>
      <c r="AD13" s="92" t="str">
        <f t="shared" si="5"/>
        <v/>
      </c>
      <c r="AE13" s="92" t="str">
        <f t="shared" si="6"/>
        <v/>
      </c>
      <c r="AF13" s="92" t="str">
        <f t="shared" si="7"/>
        <v/>
      </c>
      <c r="AG13" s="93" t="str">
        <f t="shared" si="8"/>
        <v/>
      </c>
      <c r="AH13" s="59"/>
      <c r="AI13" s="91">
        <f t="shared" si="9"/>
        <v>0</v>
      </c>
      <c r="AJ13" s="92" t="str">
        <f t="shared" si="10"/>
        <v/>
      </c>
      <c r="AK13" s="92" t="str">
        <f t="shared" si="11"/>
        <v/>
      </c>
      <c r="AL13" s="92" t="str">
        <f t="shared" si="12"/>
        <v/>
      </c>
      <c r="AM13" s="92" t="str">
        <f t="shared" si="13"/>
        <v/>
      </c>
      <c r="AN13" s="93" t="str">
        <f t="shared" si="14"/>
        <v/>
      </c>
      <c r="AO13" s="59"/>
      <c r="AP13" s="82" t="str">
        <f t="shared" si="15"/>
        <v/>
      </c>
      <c r="AQ13" s="83" t="str">
        <f t="shared" si="16"/>
        <v/>
      </c>
      <c r="AR13" s="83" t="str">
        <f t="shared" si="17"/>
        <v/>
      </c>
      <c r="AS13" s="83" t="str">
        <f t="shared" si="18"/>
        <v/>
      </c>
      <c r="AT13" s="83" t="str">
        <f t="shared" si="19"/>
        <v/>
      </c>
      <c r="AU13" s="84" t="str">
        <f t="shared" si="20"/>
        <v/>
      </c>
      <c r="AV13" s="59"/>
      <c r="AW13" s="100" t="str">
        <f t="shared" si="21"/>
        <v>la</v>
      </c>
      <c r="AX13" s="59"/>
      <c r="AY13" s="62">
        <v>1</v>
      </c>
      <c r="AZ13" s="63" t="s">
        <v>21</v>
      </c>
      <c r="BA13" s="64" t="s">
        <v>22</v>
      </c>
      <c r="BB13" s="64" t="s">
        <v>23</v>
      </c>
      <c r="BC13" s="110" t="str">
        <f>IF(ISERROR(MATCH(V13,'Nomina Barbara'!$C$11:$C$199,0)),"","YES")</f>
        <v/>
      </c>
      <c r="BD13" s="111" t="str">
        <f>IF(ISERROR(MATCH(W13,'Nomina Barbara'!$C$11:$C$199,0)),"","YES")</f>
        <v/>
      </c>
      <c r="BE13" s="59"/>
      <c r="BF13" s="59"/>
      <c r="BG13" s="59"/>
      <c r="BH13" s="59"/>
      <c r="BI13" s="157">
        <v>3</v>
      </c>
      <c r="BJ13" s="174" t="s">
        <v>27</v>
      </c>
      <c r="BK13" s="123" t="s">
        <v>246</v>
      </c>
      <c r="BL13" s="124" t="s">
        <v>246</v>
      </c>
      <c r="BM13" s="133"/>
    </row>
    <row r="14" spans="1:65" ht="34" customHeight="1">
      <c r="B14" s="77"/>
      <c r="C14" s="9"/>
      <c r="D14" s="14"/>
      <c r="E14" s="10" t="s">
        <v>4</v>
      </c>
      <c r="F14" s="10">
        <f>((I6/F13)-F12)/2</f>
        <v>0</v>
      </c>
      <c r="G14" s="10">
        <f>ROUNDDOWN(((ROUNDDOWN((I6/F13),0)-F12)/2),0)</f>
        <v>0</v>
      </c>
      <c r="H14" s="10"/>
      <c r="I14" s="12"/>
      <c r="J14" s="13"/>
      <c r="K14" s="44" t="str">
        <f>IF(G16=0,"*unamended","*amended")</f>
        <v>*unamended</v>
      </c>
      <c r="L14" s="13"/>
      <c r="M14" s="13"/>
      <c r="N14" s="13"/>
      <c r="O14" s="13"/>
      <c r="P14" s="13"/>
      <c r="Q14" s="13"/>
      <c r="R14" s="13"/>
      <c r="S14" s="58"/>
      <c r="T14" s="18" t="s">
        <v>111</v>
      </c>
      <c r="U14" s="57">
        <f>I6</f>
        <v>0</v>
      </c>
      <c r="V14" s="57" t="str">
        <f t="shared" si="0"/>
        <v/>
      </c>
      <c r="W14" s="57" t="str">
        <f t="shared" si="1"/>
        <v/>
      </c>
      <c r="X14" s="16"/>
      <c r="Y14" s="59"/>
      <c r="Z14" s="88">
        <f t="shared" si="2"/>
        <v>1</v>
      </c>
      <c r="AA14" s="59"/>
      <c r="AB14" s="91">
        <f t="shared" si="3"/>
        <v>0</v>
      </c>
      <c r="AC14" s="92" t="str">
        <f t="shared" si="4"/>
        <v/>
      </c>
      <c r="AD14" s="92" t="str">
        <f t="shared" si="5"/>
        <v/>
      </c>
      <c r="AE14" s="92" t="str">
        <f t="shared" si="6"/>
        <v/>
      </c>
      <c r="AF14" s="92" t="str">
        <f t="shared" si="7"/>
        <v/>
      </c>
      <c r="AG14" s="93" t="str">
        <f t="shared" si="8"/>
        <v/>
      </c>
      <c r="AH14" s="59"/>
      <c r="AI14" s="91">
        <f t="shared" si="9"/>
        <v>0</v>
      </c>
      <c r="AJ14" s="92" t="str">
        <f t="shared" si="10"/>
        <v/>
      </c>
      <c r="AK14" s="92" t="str">
        <f t="shared" si="11"/>
        <v/>
      </c>
      <c r="AL14" s="92" t="str">
        <f t="shared" si="12"/>
        <v/>
      </c>
      <c r="AM14" s="92" t="str">
        <f t="shared" si="13"/>
        <v/>
      </c>
      <c r="AN14" s="93" t="str">
        <f t="shared" si="14"/>
        <v/>
      </c>
      <c r="AO14" s="59"/>
      <c r="AP14" s="82" t="str">
        <f t="shared" si="15"/>
        <v/>
      </c>
      <c r="AQ14" s="83" t="str">
        <f t="shared" si="16"/>
        <v/>
      </c>
      <c r="AR14" s="83" t="str">
        <f t="shared" si="17"/>
        <v/>
      </c>
      <c r="AS14" s="83" t="str">
        <f t="shared" si="18"/>
        <v/>
      </c>
      <c r="AT14" s="83" t="str">
        <f t="shared" si="19"/>
        <v/>
      </c>
      <c r="AU14" s="84" t="str">
        <f t="shared" si="20"/>
        <v/>
      </c>
      <c r="AV14" s="59"/>
      <c r="AW14" s="100" t="str">
        <f t="shared" si="21"/>
        <v>la</v>
      </c>
      <c r="AX14" s="59"/>
      <c r="AY14" s="66">
        <v>2</v>
      </c>
      <c r="AZ14" s="67" t="s">
        <v>24</v>
      </c>
      <c r="BA14" s="68" t="s">
        <v>25</v>
      </c>
      <c r="BB14" s="68" t="s">
        <v>26</v>
      </c>
      <c r="BC14" s="110" t="str">
        <f>IF(ISERROR(MATCH(V14,'Nomina Barbara'!$C$11:$C$199,0)),"","YES")</f>
        <v/>
      </c>
      <c r="BD14" s="111" t="str">
        <f>IF(ISERROR(MATCH(W14,'Nomina Barbara'!$C$11:$C$199,0)),"","YES")</f>
        <v/>
      </c>
      <c r="BE14" s="59"/>
      <c r="BF14" s="59"/>
      <c r="BG14" s="59"/>
      <c r="BH14" s="59"/>
      <c r="BI14" s="149">
        <v>4</v>
      </c>
      <c r="BJ14" s="175" t="s">
        <v>29</v>
      </c>
      <c r="BK14" s="120" t="s">
        <v>247</v>
      </c>
      <c r="BL14" s="121" t="s">
        <v>247</v>
      </c>
      <c r="BM14" s="133"/>
    </row>
    <row r="15" spans="1:65" ht="34" customHeight="1">
      <c r="B15" s="77"/>
      <c r="C15" s="9"/>
      <c r="D15" s="14"/>
      <c r="E15" s="10" t="s">
        <v>5</v>
      </c>
      <c r="F15" s="20">
        <f>J11</f>
        <v>0</v>
      </c>
      <c r="G15" s="10">
        <f>J11</f>
        <v>0</v>
      </c>
      <c r="H15" s="10"/>
      <c r="I15" s="13"/>
      <c r="J15" s="13"/>
      <c r="K15" s="45" t="str">
        <f>IF(K14="*unamended","","remainder= "&amp;G16)</f>
        <v/>
      </c>
      <c r="L15" s="13"/>
      <c r="M15" s="13"/>
      <c r="N15" s="13"/>
      <c r="O15" s="13"/>
      <c r="P15" s="13"/>
      <c r="Q15" s="13"/>
      <c r="R15" s="13"/>
      <c r="S15" s="58"/>
      <c r="T15" s="18" t="s">
        <v>112</v>
      </c>
      <c r="U15" s="57">
        <f>SUM(I11:K13)</f>
        <v>0</v>
      </c>
      <c r="V15" s="57" t="str">
        <f t="shared" si="0"/>
        <v/>
      </c>
      <c r="W15" s="57" t="str">
        <f t="shared" si="1"/>
        <v/>
      </c>
      <c r="X15" s="16"/>
      <c r="Y15" s="59"/>
      <c r="Z15" s="88">
        <f t="shared" si="2"/>
        <v>1</v>
      </c>
      <c r="AA15" s="59"/>
      <c r="AB15" s="91">
        <f t="shared" si="3"/>
        <v>0</v>
      </c>
      <c r="AC15" s="92" t="str">
        <f t="shared" si="4"/>
        <v/>
      </c>
      <c r="AD15" s="92" t="str">
        <f t="shared" si="5"/>
        <v/>
      </c>
      <c r="AE15" s="92" t="str">
        <f t="shared" si="6"/>
        <v/>
      </c>
      <c r="AF15" s="92" t="str">
        <f t="shared" si="7"/>
        <v/>
      </c>
      <c r="AG15" s="93" t="str">
        <f t="shared" si="8"/>
        <v/>
      </c>
      <c r="AH15" s="59"/>
      <c r="AI15" s="91">
        <f t="shared" si="9"/>
        <v>0</v>
      </c>
      <c r="AJ15" s="92" t="str">
        <f t="shared" si="10"/>
        <v/>
      </c>
      <c r="AK15" s="92" t="str">
        <f t="shared" si="11"/>
        <v/>
      </c>
      <c r="AL15" s="92" t="str">
        <f t="shared" si="12"/>
        <v/>
      </c>
      <c r="AM15" s="92" t="str">
        <f t="shared" si="13"/>
        <v/>
      </c>
      <c r="AN15" s="93" t="str">
        <f t="shared" si="14"/>
        <v/>
      </c>
      <c r="AO15" s="59"/>
      <c r="AP15" s="82" t="str">
        <f t="shared" si="15"/>
        <v/>
      </c>
      <c r="AQ15" s="83" t="str">
        <f t="shared" si="16"/>
        <v/>
      </c>
      <c r="AR15" s="83" t="str">
        <f t="shared" si="17"/>
        <v/>
      </c>
      <c r="AS15" s="83" t="str">
        <f t="shared" si="18"/>
        <v/>
      </c>
      <c r="AT15" s="83" t="str">
        <f t="shared" si="19"/>
        <v/>
      </c>
      <c r="AU15" s="84" t="str">
        <f t="shared" si="20"/>
        <v/>
      </c>
      <c r="AV15" s="59"/>
      <c r="AW15" s="100" t="str">
        <f t="shared" si="21"/>
        <v>la</v>
      </c>
      <c r="AX15" s="59"/>
      <c r="AY15" s="62">
        <v>3</v>
      </c>
      <c r="AZ15" s="63" t="s">
        <v>27</v>
      </c>
      <c r="BA15" s="64" t="s">
        <v>28</v>
      </c>
      <c r="BB15" s="64" t="s">
        <v>28</v>
      </c>
      <c r="BC15" s="110" t="str">
        <f>IF(ISERROR(MATCH(V15,'Nomina Barbara'!$C$11:$C$199,0)),"","YES")</f>
        <v/>
      </c>
      <c r="BD15" s="111" t="str">
        <f>IF(ISERROR(MATCH(W15,'Nomina Barbara'!$C$11:$C$199,0)),"","YES")</f>
        <v/>
      </c>
      <c r="BE15" s="59"/>
      <c r="BF15" s="59"/>
      <c r="BG15" s="59"/>
      <c r="BH15" s="59"/>
      <c r="BI15" s="157">
        <v>5</v>
      </c>
      <c r="BJ15" s="174" t="s">
        <v>31</v>
      </c>
      <c r="BK15" s="123" t="s">
        <v>248</v>
      </c>
      <c r="BL15" s="124" t="s">
        <v>248</v>
      </c>
      <c r="BM15" s="133"/>
    </row>
    <row r="16" spans="1:65" ht="34" customHeight="1">
      <c r="B16" s="77"/>
      <c r="C16" s="9"/>
      <c r="D16" s="14"/>
      <c r="E16" s="10" t="s">
        <v>0</v>
      </c>
      <c r="F16" s="17" t="s">
        <v>108</v>
      </c>
      <c r="G16" s="10">
        <f>ABS(SUM(ROUNDDOWN(G14+($I$7*3),0),ROUNDDOWN(G14+($I$7*8),0),ROUNDDOWN(G14+($I$7*1),0))-$I$6)</f>
        <v>0</v>
      </c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58"/>
      <c r="T16" s="18" t="s">
        <v>113</v>
      </c>
      <c r="U16" s="57">
        <f>SUM(U14:U15)</f>
        <v>0</v>
      </c>
      <c r="V16" s="57" t="str">
        <f t="shared" si="0"/>
        <v/>
      </c>
      <c r="W16" s="57" t="str">
        <f t="shared" si="1"/>
        <v/>
      </c>
      <c r="X16" s="16"/>
      <c r="Y16" s="59"/>
      <c r="Z16" s="88">
        <f t="shared" si="2"/>
        <v>1</v>
      </c>
      <c r="AA16" s="59"/>
      <c r="AB16" s="91">
        <f t="shared" si="3"/>
        <v>0</v>
      </c>
      <c r="AC16" s="92" t="str">
        <f t="shared" si="4"/>
        <v/>
      </c>
      <c r="AD16" s="92" t="str">
        <f t="shared" si="5"/>
        <v/>
      </c>
      <c r="AE16" s="92" t="str">
        <f t="shared" si="6"/>
        <v/>
      </c>
      <c r="AF16" s="92" t="str">
        <f t="shared" si="7"/>
        <v/>
      </c>
      <c r="AG16" s="93" t="str">
        <f t="shared" si="8"/>
        <v/>
      </c>
      <c r="AH16" s="59"/>
      <c r="AI16" s="91">
        <f t="shared" si="9"/>
        <v>0</v>
      </c>
      <c r="AJ16" s="92" t="str">
        <f t="shared" si="10"/>
        <v/>
      </c>
      <c r="AK16" s="92" t="str">
        <f t="shared" si="11"/>
        <v/>
      </c>
      <c r="AL16" s="92" t="str">
        <f t="shared" si="12"/>
        <v/>
      </c>
      <c r="AM16" s="92" t="str">
        <f t="shared" si="13"/>
        <v/>
      </c>
      <c r="AN16" s="93" t="str">
        <f t="shared" si="14"/>
        <v/>
      </c>
      <c r="AO16" s="59"/>
      <c r="AP16" s="82" t="str">
        <f t="shared" si="15"/>
        <v/>
      </c>
      <c r="AQ16" s="83" t="str">
        <f t="shared" si="16"/>
        <v/>
      </c>
      <c r="AR16" s="83" t="str">
        <f t="shared" si="17"/>
        <v/>
      </c>
      <c r="AS16" s="83" t="str">
        <f t="shared" si="18"/>
        <v/>
      </c>
      <c r="AT16" s="83" t="str">
        <f t="shared" si="19"/>
        <v/>
      </c>
      <c r="AU16" s="84" t="str">
        <f t="shared" si="20"/>
        <v/>
      </c>
      <c r="AV16" s="59"/>
      <c r="AW16" s="100" t="str">
        <f t="shared" si="21"/>
        <v>la</v>
      </c>
      <c r="AX16" s="59"/>
      <c r="AY16" s="66">
        <v>4</v>
      </c>
      <c r="AZ16" s="67" t="s">
        <v>29</v>
      </c>
      <c r="BA16" s="68" t="s">
        <v>30</v>
      </c>
      <c r="BB16" s="68" t="s">
        <v>30</v>
      </c>
      <c r="BC16" s="110" t="str">
        <f>IF(ISERROR(MATCH(V16,'Nomina Barbara'!$C$11:$C$199,0)),"","YES")</f>
        <v/>
      </c>
      <c r="BD16" s="111" t="str">
        <f>IF(ISERROR(MATCH(W16,'Nomina Barbara'!$C$11:$C$199,0)),"","YES")</f>
        <v/>
      </c>
      <c r="BE16" s="59"/>
      <c r="BF16" s="59"/>
      <c r="BG16" s="59"/>
      <c r="BH16" s="59"/>
      <c r="BI16" s="149">
        <v>6</v>
      </c>
      <c r="BJ16" s="175" t="s">
        <v>33</v>
      </c>
      <c r="BK16" s="120" t="s">
        <v>249</v>
      </c>
      <c r="BL16" s="121" t="s">
        <v>250</v>
      </c>
      <c r="BM16" s="133"/>
    </row>
    <row r="17" spans="2:65" ht="34" customHeight="1">
      <c r="B17" s="77"/>
      <c r="C17" s="9"/>
      <c r="D17" s="14"/>
      <c r="E17" s="10" t="s">
        <v>1</v>
      </c>
      <c r="F17" s="17" t="s">
        <v>108</v>
      </c>
      <c r="G17" s="10">
        <v>7</v>
      </c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58"/>
      <c r="T17" s="18" t="s">
        <v>114</v>
      </c>
      <c r="U17" s="57">
        <f>U16*2</f>
        <v>0</v>
      </c>
      <c r="V17" s="57" t="str">
        <f t="shared" si="0"/>
        <v/>
      </c>
      <c r="W17" s="57" t="str">
        <f t="shared" si="1"/>
        <v/>
      </c>
      <c r="X17" s="16"/>
      <c r="Y17" s="59"/>
      <c r="Z17" s="88">
        <f t="shared" si="2"/>
        <v>1</v>
      </c>
      <c r="AA17" s="59"/>
      <c r="AB17" s="91">
        <f t="shared" si="3"/>
        <v>0</v>
      </c>
      <c r="AC17" s="92" t="str">
        <f t="shared" si="4"/>
        <v/>
      </c>
      <c r="AD17" s="92" t="str">
        <f t="shared" si="5"/>
        <v/>
      </c>
      <c r="AE17" s="92" t="str">
        <f t="shared" si="6"/>
        <v/>
      </c>
      <c r="AF17" s="92" t="str">
        <f t="shared" si="7"/>
        <v/>
      </c>
      <c r="AG17" s="93" t="str">
        <f t="shared" si="8"/>
        <v/>
      </c>
      <c r="AH17" s="59"/>
      <c r="AI17" s="91">
        <f t="shared" si="9"/>
        <v>0</v>
      </c>
      <c r="AJ17" s="92" t="str">
        <f t="shared" si="10"/>
        <v/>
      </c>
      <c r="AK17" s="92" t="str">
        <f t="shared" si="11"/>
        <v/>
      </c>
      <c r="AL17" s="92" t="str">
        <f t="shared" si="12"/>
        <v/>
      </c>
      <c r="AM17" s="92" t="str">
        <f t="shared" si="13"/>
        <v/>
      </c>
      <c r="AN17" s="93" t="str">
        <f t="shared" si="14"/>
        <v/>
      </c>
      <c r="AO17" s="59"/>
      <c r="AP17" s="82" t="str">
        <f t="shared" si="15"/>
        <v/>
      </c>
      <c r="AQ17" s="83" t="str">
        <f t="shared" si="16"/>
        <v/>
      </c>
      <c r="AR17" s="83" t="str">
        <f t="shared" si="17"/>
        <v/>
      </c>
      <c r="AS17" s="83" t="str">
        <f t="shared" si="18"/>
        <v/>
      </c>
      <c r="AT17" s="83" t="str">
        <f t="shared" si="19"/>
        <v/>
      </c>
      <c r="AU17" s="84" t="str">
        <f t="shared" si="20"/>
        <v/>
      </c>
      <c r="AV17" s="59"/>
      <c r="AW17" s="100" t="str">
        <f t="shared" si="21"/>
        <v>la</v>
      </c>
      <c r="AX17" s="59"/>
      <c r="AY17" s="62">
        <v>5</v>
      </c>
      <c r="AZ17" s="63" t="s">
        <v>31</v>
      </c>
      <c r="BA17" s="64" t="s">
        <v>32</v>
      </c>
      <c r="BB17" s="64" t="s">
        <v>32</v>
      </c>
      <c r="BC17" s="110" t="str">
        <f>IF(ISERROR(MATCH(V17,'Nomina Barbara'!$C$11:$C$199,0)),"","YES")</f>
        <v/>
      </c>
      <c r="BD17" s="111" t="str">
        <f>IF(ISERROR(MATCH(W17,'Nomina Barbara'!$C$11:$C$199,0)),"","YES")</f>
        <v/>
      </c>
      <c r="BE17" s="59"/>
      <c r="BF17" s="59"/>
      <c r="BG17" s="59"/>
      <c r="BH17" s="59"/>
      <c r="BI17" s="157">
        <v>7</v>
      </c>
      <c r="BJ17" s="174" t="s">
        <v>256</v>
      </c>
      <c r="BK17" s="123" t="s">
        <v>251</v>
      </c>
      <c r="BL17" s="124" t="s">
        <v>252</v>
      </c>
      <c r="BM17" s="133"/>
    </row>
    <row r="18" spans="2:65" ht="34" customHeight="1" thickBot="1">
      <c r="B18" s="77"/>
      <c r="C18" s="9"/>
      <c r="D18" s="14"/>
      <c r="E18" s="10"/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58"/>
      <c r="T18" s="18" t="s">
        <v>115</v>
      </c>
      <c r="U18" s="57">
        <f>U17*U12</f>
        <v>0</v>
      </c>
      <c r="V18" s="57" t="str">
        <f t="shared" si="0"/>
        <v/>
      </c>
      <c r="W18" s="57" t="str">
        <f t="shared" si="1"/>
        <v/>
      </c>
      <c r="X18" s="16"/>
      <c r="Y18" s="59"/>
      <c r="Z18" s="89">
        <f t="shared" si="2"/>
        <v>1</v>
      </c>
      <c r="AA18" s="59"/>
      <c r="AB18" s="94">
        <f t="shared" si="3"/>
        <v>0</v>
      </c>
      <c r="AC18" s="95" t="str">
        <f t="shared" si="4"/>
        <v/>
      </c>
      <c r="AD18" s="95" t="str">
        <f t="shared" si="5"/>
        <v/>
      </c>
      <c r="AE18" s="95" t="str">
        <f t="shared" si="6"/>
        <v/>
      </c>
      <c r="AF18" s="95" t="str">
        <f t="shared" si="7"/>
        <v/>
      </c>
      <c r="AG18" s="96" t="str">
        <f t="shared" si="8"/>
        <v/>
      </c>
      <c r="AH18" s="59"/>
      <c r="AI18" s="94">
        <f t="shared" si="9"/>
        <v>0</v>
      </c>
      <c r="AJ18" s="95" t="str">
        <f t="shared" si="10"/>
        <v/>
      </c>
      <c r="AK18" s="95" t="str">
        <f t="shared" si="11"/>
        <v/>
      </c>
      <c r="AL18" s="95" t="str">
        <f t="shared" si="12"/>
        <v/>
      </c>
      <c r="AM18" s="95" t="str">
        <f t="shared" si="13"/>
        <v/>
      </c>
      <c r="AN18" s="96" t="str">
        <f t="shared" si="14"/>
        <v/>
      </c>
      <c r="AO18" s="59"/>
      <c r="AP18" s="85" t="str">
        <f t="shared" si="15"/>
        <v/>
      </c>
      <c r="AQ18" s="86" t="str">
        <f t="shared" si="16"/>
        <v/>
      </c>
      <c r="AR18" s="86" t="str">
        <f t="shared" si="17"/>
        <v/>
      </c>
      <c r="AS18" s="86" t="str">
        <f t="shared" si="18"/>
        <v/>
      </c>
      <c r="AT18" s="86" t="str">
        <f t="shared" si="19"/>
        <v/>
      </c>
      <c r="AU18" s="87" t="str">
        <f t="shared" si="20"/>
        <v/>
      </c>
      <c r="AV18" s="59"/>
      <c r="AW18" s="101" t="str">
        <f t="shared" si="21"/>
        <v>la</v>
      </c>
      <c r="AX18" s="59"/>
      <c r="AY18" s="66">
        <v>6</v>
      </c>
      <c r="AZ18" s="67" t="s">
        <v>33</v>
      </c>
      <c r="BA18" s="68" t="s">
        <v>34</v>
      </c>
      <c r="BB18" s="68" t="s">
        <v>255</v>
      </c>
      <c r="BC18" s="110" t="str">
        <f>IF(ISERROR(MATCH(V18,'Nomina Barbara'!$C$11:$C$199,0)),"","YES")</f>
        <v/>
      </c>
      <c r="BD18" s="111" t="str">
        <f>IF(ISERROR(MATCH(W18,'Nomina Barbara'!$C$11:$C$199,0)),"","YES")</f>
        <v/>
      </c>
      <c r="BE18" s="59"/>
      <c r="BF18" s="59"/>
      <c r="BG18" s="59"/>
      <c r="BH18" s="59"/>
      <c r="BI18" s="149">
        <v>8</v>
      </c>
      <c r="BJ18" s="175" t="s">
        <v>259</v>
      </c>
      <c r="BK18" s="120" t="s">
        <v>253</v>
      </c>
      <c r="BL18" s="121" t="s">
        <v>260</v>
      </c>
      <c r="BM18" s="133"/>
    </row>
    <row r="19" spans="2:65" ht="34" customHeight="1" thickBot="1">
      <c r="B19" s="77"/>
      <c r="C19" s="5"/>
      <c r="D19" s="6"/>
      <c r="E19" s="6"/>
      <c r="F19" s="6"/>
      <c r="G19" s="6"/>
      <c r="H19" s="6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6"/>
      <c r="U19" s="6"/>
      <c r="V19" s="6"/>
      <c r="W19" s="6"/>
      <c r="X19" s="7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83"/>
      <c r="AQ19" s="83"/>
      <c r="AR19" s="83"/>
      <c r="AS19" s="83"/>
      <c r="AT19" s="83"/>
      <c r="AU19" s="83"/>
      <c r="AV19" s="59"/>
      <c r="AW19" s="59"/>
      <c r="AX19" s="59"/>
      <c r="AY19" s="62">
        <v>7</v>
      </c>
      <c r="AZ19" s="63" t="s">
        <v>256</v>
      </c>
      <c r="BA19" s="64" t="s">
        <v>257</v>
      </c>
      <c r="BB19" s="64" t="s">
        <v>258</v>
      </c>
      <c r="BC19" s="112"/>
      <c r="BD19" s="113"/>
      <c r="BE19" s="59"/>
      <c r="BF19" s="59"/>
      <c r="BG19" s="59"/>
      <c r="BH19" s="59"/>
      <c r="BI19" s="157">
        <v>9</v>
      </c>
      <c r="BJ19" s="174" t="s">
        <v>261</v>
      </c>
      <c r="BK19" s="123" t="s">
        <v>262</v>
      </c>
      <c r="BL19" s="124" t="s">
        <v>262</v>
      </c>
      <c r="BM19" s="133"/>
    </row>
    <row r="20" spans="2:65" ht="34" customHeight="1" thickBot="1">
      <c r="B20" s="77"/>
      <c r="C20" s="59"/>
      <c r="D20" s="59"/>
      <c r="E20" s="59"/>
      <c r="F20" s="59"/>
      <c r="G20" s="59"/>
      <c r="H20" s="59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66">
        <v>8</v>
      </c>
      <c r="AZ20" s="67" t="s">
        <v>259</v>
      </c>
      <c r="BA20" s="68" t="s">
        <v>260</v>
      </c>
      <c r="BB20" s="69" t="s">
        <v>260</v>
      </c>
      <c r="BC20" s="59"/>
      <c r="BD20" s="59"/>
      <c r="BE20" s="59"/>
      <c r="BF20" s="59"/>
      <c r="BG20" s="59"/>
      <c r="BH20" s="59"/>
      <c r="BI20" s="149">
        <v>10</v>
      </c>
      <c r="BJ20" s="175" t="s">
        <v>65</v>
      </c>
      <c r="BK20" s="120" t="s">
        <v>254</v>
      </c>
      <c r="BL20" s="121" t="s">
        <v>156</v>
      </c>
      <c r="BM20" s="133"/>
    </row>
    <row r="21" spans="2:65" ht="34" customHeight="1">
      <c r="B21" s="77"/>
      <c r="C21" s="2"/>
      <c r="D21" s="34"/>
      <c r="E21" s="34"/>
      <c r="F21" s="3"/>
      <c r="G21" s="3"/>
      <c r="H21" s="3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3"/>
      <c r="U21" s="180" t="s">
        <v>135</v>
      </c>
      <c r="V21" s="180"/>
      <c r="W21" s="180"/>
      <c r="X21" s="4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90"/>
      <c r="AX21" s="59"/>
      <c r="AY21" s="62">
        <v>9</v>
      </c>
      <c r="AZ21" s="63" t="s">
        <v>261</v>
      </c>
      <c r="BA21" s="64" t="s">
        <v>263</v>
      </c>
      <c r="BB21" s="65" t="s">
        <v>263</v>
      </c>
      <c r="BC21" s="181" t="s">
        <v>195</v>
      </c>
      <c r="BD21" s="182"/>
      <c r="BE21" s="59"/>
      <c r="BF21" s="59"/>
      <c r="BG21" s="59"/>
      <c r="BH21" s="59"/>
      <c r="BI21" s="157">
        <v>20</v>
      </c>
      <c r="BJ21" s="174" t="s">
        <v>68</v>
      </c>
      <c r="BK21" s="123" t="s">
        <v>157</v>
      </c>
      <c r="BL21" s="124" t="s">
        <v>157</v>
      </c>
      <c r="BM21" s="133"/>
    </row>
    <row r="22" spans="2:65" ht="34" customHeight="1" thickBot="1">
      <c r="B22" s="77"/>
      <c r="C22" s="9"/>
      <c r="D22" s="14"/>
      <c r="E22" s="10"/>
      <c r="F22" s="11" t="s">
        <v>117</v>
      </c>
      <c r="G22" s="11" t="s">
        <v>118</v>
      </c>
      <c r="H22" s="10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5" t="s">
        <v>119</v>
      </c>
      <c r="V22" s="15" t="s">
        <v>120</v>
      </c>
      <c r="W22" s="15" t="s">
        <v>121</v>
      </c>
      <c r="X22" s="16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66">
        <v>10</v>
      </c>
      <c r="AZ22" s="67" t="s">
        <v>65</v>
      </c>
      <c r="BA22" s="68" t="s">
        <v>66</v>
      </c>
      <c r="BB22" s="69" t="s">
        <v>67</v>
      </c>
      <c r="BC22" s="108" t="s">
        <v>228</v>
      </c>
      <c r="BD22" s="109" t="s">
        <v>229</v>
      </c>
      <c r="BE22" s="59"/>
      <c r="BF22" s="59"/>
      <c r="BG22" s="59"/>
      <c r="BH22" s="59"/>
      <c r="BI22" s="149">
        <v>30</v>
      </c>
      <c r="BJ22" s="175" t="s">
        <v>70</v>
      </c>
      <c r="BK22" s="120" t="s">
        <v>158</v>
      </c>
      <c r="BL22" s="121" t="s">
        <v>158</v>
      </c>
      <c r="BM22" s="133"/>
    </row>
    <row r="23" spans="2:65" ht="34" customHeight="1">
      <c r="B23" s="77"/>
      <c r="C23" s="9"/>
      <c r="D23" s="14"/>
      <c r="E23" s="10" t="s">
        <v>122</v>
      </c>
      <c r="F23" s="10">
        <v>16</v>
      </c>
      <c r="G23" s="17" t="s">
        <v>123</v>
      </c>
      <c r="H23" s="10"/>
      <c r="I23" s="23">
        <f>G$26+($I$7*7)</f>
        <v>0</v>
      </c>
      <c r="J23" s="24">
        <f>G$26+($I$7*10)</f>
        <v>0</v>
      </c>
      <c r="K23" s="24">
        <f>G$26+($I$7*13)+G28</f>
        <v>0</v>
      </c>
      <c r="L23" s="25">
        <f>G$26</f>
        <v>0</v>
      </c>
      <c r="M23" s="13"/>
      <c r="N23" s="13"/>
      <c r="O23" s="13"/>
      <c r="P23" s="13"/>
      <c r="Q23" s="13"/>
      <c r="R23" s="13"/>
      <c r="S23" s="13"/>
      <c r="T23" s="18" t="s">
        <v>124</v>
      </c>
      <c r="U23" s="13">
        <f>L23</f>
        <v>0</v>
      </c>
      <c r="V23" s="13" t="str">
        <f>IF(U23-31&lt;0,"",U23-31)</f>
        <v/>
      </c>
      <c r="W23" s="13" t="str">
        <f>IF(U23-41&lt;0,"",U23-41)</f>
        <v/>
      </c>
      <c r="X23" s="16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62">
        <v>20</v>
      </c>
      <c r="AZ23" s="63" t="s">
        <v>68</v>
      </c>
      <c r="BA23" s="64" t="s">
        <v>69</v>
      </c>
      <c r="BB23" s="65" t="s">
        <v>69</v>
      </c>
      <c r="BC23" s="110" t="str">
        <f>IF(ISERROR(MATCH(V23,'Nomina Barbara'!$C$11:$C$199,0)),"","YES")</f>
        <v/>
      </c>
      <c r="BD23" s="111" t="str">
        <f>IF(ISERROR(MATCH(W23,'Nomina Barbara'!$C$11:$C$199,0)),"","YES")</f>
        <v/>
      </c>
      <c r="BE23" s="59"/>
      <c r="BF23" s="59"/>
      <c r="BG23" s="59"/>
      <c r="BH23" s="59"/>
      <c r="BI23" s="157">
        <v>40</v>
      </c>
      <c r="BJ23" s="174" t="s">
        <v>72</v>
      </c>
      <c r="BK23" s="123" t="s">
        <v>159</v>
      </c>
      <c r="BL23" s="124" t="s">
        <v>159</v>
      </c>
      <c r="BM23" s="133"/>
    </row>
    <row r="24" spans="2:65" ht="34" customHeight="1">
      <c r="B24" s="77"/>
      <c r="C24" s="9"/>
      <c r="D24" s="14"/>
      <c r="E24" s="10" t="s">
        <v>2</v>
      </c>
      <c r="F24" s="10">
        <f>(F23-1)*$I$7</f>
        <v>0</v>
      </c>
      <c r="G24" s="17" t="s">
        <v>123</v>
      </c>
      <c r="H24" s="10"/>
      <c r="I24" s="26">
        <f>G$26+($I$7*12)+G28</f>
        <v>0</v>
      </c>
      <c r="J24" s="19">
        <f>G$26+($I$7*1)</f>
        <v>0</v>
      </c>
      <c r="K24" s="19">
        <f>G$26+($I$7*6)</f>
        <v>0</v>
      </c>
      <c r="L24" s="27">
        <f>G$26+($I$7*11)</f>
        <v>0</v>
      </c>
      <c r="M24" s="13"/>
      <c r="N24" s="13"/>
      <c r="O24" s="13"/>
      <c r="P24" s="13"/>
      <c r="Q24" s="13"/>
      <c r="R24" s="13"/>
      <c r="S24" s="13"/>
      <c r="T24" s="18" t="s">
        <v>109</v>
      </c>
      <c r="U24" s="13">
        <f>J25</f>
        <v>0</v>
      </c>
      <c r="V24" s="13" t="str">
        <f t="shared" ref="V24:V30" si="22">IF(U24-31&lt;0,"",U24-31)</f>
        <v/>
      </c>
      <c r="W24" s="13" t="str">
        <f t="shared" ref="W24:W30" si="23">IF(U24-41&lt;0,"",U24-41)</f>
        <v/>
      </c>
      <c r="X24" s="16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66">
        <v>30</v>
      </c>
      <c r="AZ24" s="67" t="s">
        <v>70</v>
      </c>
      <c r="BA24" s="68" t="s">
        <v>71</v>
      </c>
      <c r="BB24" s="69" t="s">
        <v>71</v>
      </c>
      <c r="BC24" s="110" t="str">
        <f>IF(ISERROR(MATCH(V24,'Nomina Barbara'!$C$11:$C$199,0)),"","YES")</f>
        <v/>
      </c>
      <c r="BD24" s="111" t="str">
        <f>IF(ISERROR(MATCH(W24,'Nomina Barbara'!$C$11:$C$199,0)),"","YES")</f>
        <v/>
      </c>
      <c r="BE24" s="59"/>
      <c r="BF24" s="59"/>
      <c r="BG24" s="59"/>
      <c r="BH24" s="59"/>
      <c r="BI24" s="149">
        <v>50</v>
      </c>
      <c r="BJ24" s="175" t="s">
        <v>74</v>
      </c>
      <c r="BK24" s="120" t="s">
        <v>160</v>
      </c>
      <c r="BL24" s="121" t="s">
        <v>160</v>
      </c>
      <c r="BM24" s="133"/>
    </row>
    <row r="25" spans="2:65" ht="34" customHeight="1">
      <c r="B25" s="77"/>
      <c r="C25" s="9"/>
      <c r="D25" s="14"/>
      <c r="E25" s="10" t="s">
        <v>3</v>
      </c>
      <c r="F25" s="10">
        <f>4/2</f>
        <v>2</v>
      </c>
      <c r="G25" s="17" t="s">
        <v>123</v>
      </c>
      <c r="H25" s="10"/>
      <c r="I25" s="26">
        <f>G$26+($I$7*2)</f>
        <v>0</v>
      </c>
      <c r="J25" s="19">
        <f>G$26+($I$7*15)+G28</f>
        <v>0</v>
      </c>
      <c r="K25" s="19">
        <f>G$26+($I$7*8)</f>
        <v>0</v>
      </c>
      <c r="L25" s="27">
        <f>G$26+($I$7*5)</f>
        <v>0</v>
      </c>
      <c r="M25" s="13"/>
      <c r="N25" s="13"/>
      <c r="O25" s="13"/>
      <c r="P25" s="13"/>
      <c r="Q25" s="13"/>
      <c r="R25" s="13"/>
      <c r="S25" s="13"/>
      <c r="T25" s="18" t="s">
        <v>110</v>
      </c>
      <c r="U25" s="13">
        <f>SUM(U23:U24)</f>
        <v>0</v>
      </c>
      <c r="V25" s="13" t="str">
        <f t="shared" si="22"/>
        <v/>
      </c>
      <c r="W25" s="13" t="str">
        <f t="shared" si="23"/>
        <v/>
      </c>
      <c r="X25" s="16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62">
        <v>40</v>
      </c>
      <c r="AZ25" s="63" t="s">
        <v>72</v>
      </c>
      <c r="BA25" s="64" t="s">
        <v>73</v>
      </c>
      <c r="BB25" s="65" t="s">
        <v>73</v>
      </c>
      <c r="BC25" s="110" t="str">
        <f>IF(ISERROR(MATCH(V25,'Nomina Barbara'!$C$11:$C$199,0)),"","YES")</f>
        <v/>
      </c>
      <c r="BD25" s="111" t="str">
        <f>IF(ISERROR(MATCH(W25,'Nomina Barbara'!$C$11:$C$199,0)),"","YES")</f>
        <v/>
      </c>
      <c r="BE25" s="59"/>
      <c r="BF25" s="59"/>
      <c r="BG25" s="59"/>
      <c r="BH25" s="59"/>
      <c r="BI25" s="157">
        <v>60</v>
      </c>
      <c r="BJ25" s="174" t="s">
        <v>76</v>
      </c>
      <c r="BK25" s="123" t="s">
        <v>161</v>
      </c>
      <c r="BL25" s="124" t="s">
        <v>162</v>
      </c>
      <c r="BM25" s="133"/>
    </row>
    <row r="26" spans="2:65" ht="34" customHeight="1" thickBot="1">
      <c r="B26" s="77"/>
      <c r="C26" s="9"/>
      <c r="D26" s="14"/>
      <c r="E26" s="10" t="s">
        <v>4</v>
      </c>
      <c r="F26" s="10">
        <f>(($I$6/F25)-F24)/2</f>
        <v>0</v>
      </c>
      <c r="G26" s="10">
        <f>ROUNDDOWN((ROUNDDOWN(($I$6/F25),0)-F24)/2,0)</f>
        <v>0</v>
      </c>
      <c r="H26" s="10"/>
      <c r="I26" s="28">
        <f>G$26+($I$7*9)</f>
        <v>0</v>
      </c>
      <c r="J26" s="29">
        <f>G$26+($I$7*4)</f>
        <v>0</v>
      </c>
      <c r="K26" s="29">
        <f>G$26+($I$7*3)</f>
        <v>0</v>
      </c>
      <c r="L26" s="30">
        <f>G$26+($I$7*14)+G28</f>
        <v>0</v>
      </c>
      <c r="M26" s="13"/>
      <c r="N26" s="13"/>
      <c r="O26" s="13"/>
      <c r="P26" s="13"/>
      <c r="Q26" s="13"/>
      <c r="R26" s="13"/>
      <c r="S26" s="13"/>
      <c r="T26" s="18" t="s">
        <v>111</v>
      </c>
      <c r="U26" s="13">
        <f>$I$6</f>
        <v>0</v>
      </c>
      <c r="V26" s="13" t="str">
        <f t="shared" si="22"/>
        <v/>
      </c>
      <c r="W26" s="13" t="str">
        <f t="shared" si="23"/>
        <v/>
      </c>
      <c r="X26" s="16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66">
        <v>50</v>
      </c>
      <c r="AZ26" s="67" t="s">
        <v>74</v>
      </c>
      <c r="BA26" s="68" t="s">
        <v>75</v>
      </c>
      <c r="BB26" s="69" t="s">
        <v>75</v>
      </c>
      <c r="BC26" s="110" t="str">
        <f>IF(ISERROR(MATCH(V26,'Nomina Barbara'!$C$11:$C$199,0)),"","YES")</f>
        <v/>
      </c>
      <c r="BD26" s="111" t="str">
        <f>IF(ISERROR(MATCH(W26,'Nomina Barbara'!$C$11:$C$199,0)),"","YES")</f>
        <v/>
      </c>
      <c r="BE26" s="59"/>
      <c r="BF26" s="59"/>
      <c r="BG26" s="59"/>
      <c r="BH26" s="59"/>
      <c r="BI26" s="149">
        <v>70</v>
      </c>
      <c r="BJ26" s="175" t="s">
        <v>79</v>
      </c>
      <c r="BK26" s="120" t="s">
        <v>163</v>
      </c>
      <c r="BL26" s="121" t="s">
        <v>243</v>
      </c>
      <c r="BM26" s="133"/>
    </row>
    <row r="27" spans="2:65" ht="34" customHeight="1">
      <c r="B27" s="77"/>
      <c r="C27" s="9"/>
      <c r="D27" s="14"/>
      <c r="E27" s="10" t="s">
        <v>5</v>
      </c>
      <c r="F27" s="20">
        <f>J25</f>
        <v>0</v>
      </c>
      <c r="G27" s="10">
        <f>J25</f>
        <v>0</v>
      </c>
      <c r="H27" s="10"/>
      <c r="I27" s="13"/>
      <c r="J27" s="13"/>
      <c r="K27" s="13"/>
      <c r="L27" s="44" t="str">
        <f>IF(G28=0,"*unamended","*amended")</f>
        <v>*unamended</v>
      </c>
      <c r="M27" s="13"/>
      <c r="N27" s="13"/>
      <c r="O27" s="13"/>
      <c r="P27" s="13"/>
      <c r="Q27" s="13"/>
      <c r="R27" s="13"/>
      <c r="S27" s="13"/>
      <c r="T27" s="18" t="s">
        <v>112</v>
      </c>
      <c r="U27" s="13">
        <f>SUM(I23:L26)</f>
        <v>0</v>
      </c>
      <c r="V27" s="13" t="str">
        <f t="shared" si="22"/>
        <v/>
      </c>
      <c r="W27" s="13" t="str">
        <f t="shared" si="23"/>
        <v/>
      </c>
      <c r="X27" s="16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62">
        <v>60</v>
      </c>
      <c r="AZ27" s="63" t="s">
        <v>76</v>
      </c>
      <c r="BA27" s="64" t="s">
        <v>77</v>
      </c>
      <c r="BB27" s="65" t="s">
        <v>78</v>
      </c>
      <c r="BC27" s="110" t="str">
        <f>IF(ISERROR(MATCH(V27,'Nomina Barbara'!$C$11:$C$199,0)),"","YES")</f>
        <v/>
      </c>
      <c r="BD27" s="111" t="str">
        <f>IF(ISERROR(MATCH(W27,'Nomina Barbara'!$C$11:$C$199,0)),"","YES")</f>
        <v/>
      </c>
      <c r="BE27" s="59"/>
      <c r="BF27" s="59"/>
      <c r="BG27" s="59"/>
      <c r="BH27" s="59"/>
      <c r="BI27" s="157">
        <v>80</v>
      </c>
      <c r="BJ27" s="174" t="s">
        <v>82</v>
      </c>
      <c r="BK27" s="123" t="s">
        <v>164</v>
      </c>
      <c r="BL27" s="124" t="s">
        <v>165</v>
      </c>
      <c r="BM27" s="133"/>
    </row>
    <row r="28" spans="2:65" ht="34" customHeight="1">
      <c r="B28" s="77"/>
      <c r="C28" s="9"/>
      <c r="D28" s="14"/>
      <c r="E28" s="10" t="s">
        <v>0</v>
      </c>
      <c r="F28" s="17" t="s">
        <v>123</v>
      </c>
      <c r="G28" s="10">
        <f>ABS((SUM(ROUNDDOWN(G26+($I$7*7),0),ROUNDDOWN(G26+($I$7*10),0),ROUNDDOWN(G26+($I$7*13),0),ROUNDDOWN(G26,0)))-$I$6)</f>
        <v>0</v>
      </c>
      <c r="H28" s="10"/>
      <c r="I28" s="13"/>
      <c r="J28" s="13"/>
      <c r="K28" s="13"/>
      <c r="L28" s="45" t="str">
        <f>IF(L27="*unamended","","remainder= "&amp;G28)</f>
        <v/>
      </c>
      <c r="M28" s="13"/>
      <c r="N28" s="13"/>
      <c r="O28" s="13"/>
      <c r="P28" s="13"/>
      <c r="Q28" s="13"/>
      <c r="R28" s="13"/>
      <c r="S28" s="13"/>
      <c r="T28" s="18" t="s">
        <v>113</v>
      </c>
      <c r="U28" s="13">
        <f>SUM(U26:U27)</f>
        <v>0</v>
      </c>
      <c r="V28" s="13" t="str">
        <f t="shared" si="22"/>
        <v/>
      </c>
      <c r="W28" s="13" t="str">
        <f t="shared" si="23"/>
        <v/>
      </c>
      <c r="X28" s="16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66">
        <v>70</v>
      </c>
      <c r="AZ28" s="67" t="s">
        <v>79</v>
      </c>
      <c r="BA28" s="68" t="s">
        <v>80</v>
      </c>
      <c r="BB28" s="69" t="s">
        <v>81</v>
      </c>
      <c r="BC28" s="110" t="str">
        <f>IF(ISERROR(MATCH(V28,'Nomina Barbara'!$C$11:$C$199,0)),"","YES")</f>
        <v/>
      </c>
      <c r="BD28" s="111" t="str">
        <f>IF(ISERROR(MATCH(W28,'Nomina Barbara'!$C$11:$C$199,0)),"","YES")</f>
        <v/>
      </c>
      <c r="BE28" s="59"/>
      <c r="BF28" s="59"/>
      <c r="BG28" s="59"/>
      <c r="BH28" s="59"/>
      <c r="BI28" s="149">
        <v>90</v>
      </c>
      <c r="BJ28" s="175" t="s">
        <v>85</v>
      </c>
      <c r="BK28" s="120" t="s">
        <v>166</v>
      </c>
      <c r="BL28" s="121" t="s">
        <v>167</v>
      </c>
      <c r="BM28" s="133"/>
    </row>
    <row r="29" spans="2:65" ht="34" customHeight="1">
      <c r="B29" s="77"/>
      <c r="C29" s="9"/>
      <c r="D29" s="14"/>
      <c r="E29" s="10" t="s">
        <v>1</v>
      </c>
      <c r="F29" s="17" t="s">
        <v>123</v>
      </c>
      <c r="G29" s="10">
        <v>13</v>
      </c>
      <c r="H29" s="10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8" t="s">
        <v>114</v>
      </c>
      <c r="U29" s="13">
        <f>U28*2</f>
        <v>0</v>
      </c>
      <c r="V29" s="13" t="str">
        <f t="shared" si="22"/>
        <v/>
      </c>
      <c r="W29" s="13" t="str">
        <f t="shared" si="23"/>
        <v/>
      </c>
      <c r="X29" s="16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62">
        <v>80</v>
      </c>
      <c r="AZ29" s="63" t="s">
        <v>82</v>
      </c>
      <c r="BA29" s="64" t="s">
        <v>83</v>
      </c>
      <c r="BB29" s="65" t="s">
        <v>84</v>
      </c>
      <c r="BC29" s="110" t="str">
        <f>IF(ISERROR(MATCH(V29,'Nomina Barbara'!$C$11:$C$199,0)),"","YES")</f>
        <v/>
      </c>
      <c r="BD29" s="111" t="str">
        <f>IF(ISERROR(MATCH(W29,'Nomina Barbara'!$C$11:$C$199,0)),"","YES")</f>
        <v/>
      </c>
      <c r="BE29" s="59"/>
      <c r="BF29" s="59"/>
      <c r="BG29" s="59"/>
      <c r="BH29" s="59"/>
      <c r="BI29" s="157">
        <v>100</v>
      </c>
      <c r="BJ29" s="174" t="s">
        <v>88</v>
      </c>
      <c r="BK29" s="123" t="s">
        <v>168</v>
      </c>
      <c r="BL29" s="124" t="s">
        <v>169</v>
      </c>
      <c r="BM29" s="133"/>
    </row>
    <row r="30" spans="2:65" ht="34" customHeight="1">
      <c r="B30" s="77"/>
      <c r="C30" s="9"/>
      <c r="D30" s="14"/>
      <c r="E30" s="10"/>
      <c r="F30" s="10"/>
      <c r="G30" s="10"/>
      <c r="H30" s="10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8" t="s">
        <v>115</v>
      </c>
      <c r="U30" s="13">
        <f>U29*U24</f>
        <v>0</v>
      </c>
      <c r="V30" s="13" t="str">
        <f t="shared" si="22"/>
        <v/>
      </c>
      <c r="W30" s="13" t="str">
        <f t="shared" si="23"/>
        <v/>
      </c>
      <c r="X30" s="16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66">
        <v>90</v>
      </c>
      <c r="AZ30" s="67" t="s">
        <v>85</v>
      </c>
      <c r="BA30" s="68" t="s">
        <v>86</v>
      </c>
      <c r="BB30" s="69" t="s">
        <v>87</v>
      </c>
      <c r="BC30" s="110" t="str">
        <f>IF(ISERROR(MATCH(V30,'Nomina Barbara'!$C$11:$C$199,0)),"","YES")</f>
        <v/>
      </c>
      <c r="BD30" s="111" t="str">
        <f>IF(ISERROR(MATCH(W30,'Nomina Barbara'!$C$11:$C$199,0)),"","YES")</f>
        <v/>
      </c>
      <c r="BE30" s="59"/>
      <c r="BF30" s="59"/>
      <c r="BG30" s="59"/>
      <c r="BH30" s="59"/>
      <c r="BI30" s="149">
        <v>200</v>
      </c>
      <c r="BJ30" s="175" t="s">
        <v>91</v>
      </c>
      <c r="BK30" s="120" t="s">
        <v>170</v>
      </c>
      <c r="BL30" s="121" t="s">
        <v>170</v>
      </c>
      <c r="BM30" s="133"/>
    </row>
    <row r="31" spans="2:65" ht="34" customHeight="1" thickBot="1">
      <c r="B31" s="77"/>
      <c r="C31" s="5"/>
      <c r="D31" s="6"/>
      <c r="E31" s="6"/>
      <c r="F31" s="6"/>
      <c r="G31" s="6"/>
      <c r="H31" s="6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6"/>
      <c r="U31" s="6"/>
      <c r="V31" s="6"/>
      <c r="W31" s="6"/>
      <c r="X31" s="7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62">
        <v>100</v>
      </c>
      <c r="AZ31" s="63" t="s">
        <v>88</v>
      </c>
      <c r="BA31" s="64" t="s">
        <v>89</v>
      </c>
      <c r="BB31" s="65" t="s">
        <v>90</v>
      </c>
      <c r="BC31" s="112"/>
      <c r="BD31" s="113"/>
      <c r="BE31" s="59"/>
      <c r="BF31" s="59"/>
      <c r="BG31" s="59"/>
      <c r="BH31" s="59"/>
      <c r="BI31" s="157">
        <v>300</v>
      </c>
      <c r="BJ31" s="174" t="s">
        <v>93</v>
      </c>
      <c r="BK31" s="123" t="s">
        <v>171</v>
      </c>
      <c r="BL31" s="124" t="s">
        <v>274</v>
      </c>
      <c r="BM31" s="133"/>
    </row>
    <row r="32" spans="2:65" ht="34" customHeight="1" thickBot="1">
      <c r="B32" s="77"/>
      <c r="C32" s="59"/>
      <c r="D32" s="59"/>
      <c r="E32" s="59"/>
      <c r="F32" s="59"/>
      <c r="G32" s="59"/>
      <c r="H32" s="59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66">
        <v>200</v>
      </c>
      <c r="AZ32" s="67" t="s">
        <v>91</v>
      </c>
      <c r="BA32" s="68" t="s">
        <v>92</v>
      </c>
      <c r="BB32" s="69" t="s">
        <v>92</v>
      </c>
      <c r="BC32" s="59"/>
      <c r="BD32" s="59"/>
      <c r="BE32" s="59"/>
      <c r="BF32" s="59"/>
      <c r="BG32" s="59"/>
      <c r="BH32" s="59"/>
      <c r="BI32" s="149">
        <v>400</v>
      </c>
      <c r="BJ32" s="175" t="s">
        <v>95</v>
      </c>
      <c r="BK32" s="120" t="s">
        <v>275</v>
      </c>
      <c r="BL32" s="121" t="s">
        <v>275</v>
      </c>
      <c r="BM32" s="133"/>
    </row>
    <row r="33" spans="2:65" ht="34" customHeight="1">
      <c r="B33" s="77"/>
      <c r="C33" s="2"/>
      <c r="D33" s="34"/>
      <c r="E33" s="34"/>
      <c r="F33" s="3"/>
      <c r="G33" s="3"/>
      <c r="H33" s="3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3"/>
      <c r="U33" s="180" t="s">
        <v>135</v>
      </c>
      <c r="V33" s="180"/>
      <c r="W33" s="180"/>
      <c r="X33" s="4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62">
        <v>300</v>
      </c>
      <c r="AZ33" s="63" t="s">
        <v>93</v>
      </c>
      <c r="BA33" s="64" t="s">
        <v>94</v>
      </c>
      <c r="BB33" s="65" t="s">
        <v>94</v>
      </c>
      <c r="BC33" s="181" t="s">
        <v>195</v>
      </c>
      <c r="BD33" s="182"/>
      <c r="BE33" s="59"/>
      <c r="BF33" s="59"/>
      <c r="BG33" s="59"/>
      <c r="BH33" s="59"/>
      <c r="BI33" s="157">
        <v>500</v>
      </c>
      <c r="BJ33" s="174" t="s">
        <v>276</v>
      </c>
      <c r="BK33" s="123" t="s">
        <v>277</v>
      </c>
      <c r="BL33" s="124" t="s">
        <v>278</v>
      </c>
      <c r="BM33" s="133"/>
    </row>
    <row r="34" spans="2:65" ht="34" customHeight="1" thickBot="1">
      <c r="B34" s="77"/>
      <c r="C34" s="9"/>
      <c r="D34" s="14"/>
      <c r="E34" s="10"/>
      <c r="F34" s="11" t="s">
        <v>125</v>
      </c>
      <c r="G34" s="11" t="s">
        <v>126</v>
      </c>
      <c r="H34" s="10"/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15" t="s">
        <v>119</v>
      </c>
      <c r="V34" s="15" t="s">
        <v>120</v>
      </c>
      <c r="W34" s="15" t="s">
        <v>121</v>
      </c>
      <c r="X34" s="16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66">
        <v>400</v>
      </c>
      <c r="AZ34" s="67" t="s">
        <v>95</v>
      </c>
      <c r="BA34" s="68" t="s">
        <v>262</v>
      </c>
      <c r="BB34" s="69" t="s">
        <v>196</v>
      </c>
      <c r="BC34" s="108" t="s">
        <v>228</v>
      </c>
      <c r="BD34" s="109" t="s">
        <v>229</v>
      </c>
      <c r="BE34" s="59"/>
      <c r="BF34" s="59"/>
      <c r="BG34" s="59"/>
      <c r="BH34" s="59"/>
      <c r="BI34" s="149">
        <v>600</v>
      </c>
      <c r="BJ34" s="175" t="s">
        <v>279</v>
      </c>
      <c r="BK34" s="120" t="s">
        <v>280</v>
      </c>
      <c r="BL34" s="121" t="str">
        <f>BK34</f>
        <v>(kh,ch)</v>
      </c>
      <c r="BM34" s="133"/>
    </row>
    <row r="35" spans="2:65" ht="34" customHeight="1">
      <c r="B35" s="77"/>
      <c r="C35" s="9"/>
      <c r="D35" s="14"/>
      <c r="E35" s="10" t="s">
        <v>122</v>
      </c>
      <c r="F35" s="10">
        <v>25</v>
      </c>
      <c r="G35" s="17" t="s">
        <v>123</v>
      </c>
      <c r="H35" s="10"/>
      <c r="I35" s="23">
        <f>G$38+17</f>
        <v>17</v>
      </c>
      <c r="J35" s="24">
        <f>G$38+9</f>
        <v>9</v>
      </c>
      <c r="K35" s="24">
        <f>G$38+21+G40</f>
        <v>21</v>
      </c>
      <c r="L35" s="32">
        <f>G$38+13</f>
        <v>13</v>
      </c>
      <c r="M35" s="25">
        <f>G$38+0</f>
        <v>0</v>
      </c>
      <c r="N35" s="13"/>
      <c r="O35" s="13"/>
      <c r="P35" s="13"/>
      <c r="Q35" s="13"/>
      <c r="R35" s="13"/>
      <c r="S35" s="13"/>
      <c r="T35" s="18" t="s">
        <v>124</v>
      </c>
      <c r="U35" s="13">
        <f>M35</f>
        <v>0</v>
      </c>
      <c r="V35" s="13" t="str">
        <f>IF(U35-31&lt;0,"",U35-31)</f>
        <v/>
      </c>
      <c r="W35" s="13" t="str">
        <f>IF(U35-41&lt;0,"",U35-41)</f>
        <v/>
      </c>
      <c r="X35" s="16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62">
        <v>500</v>
      </c>
      <c r="AZ35" s="63" t="s">
        <v>197</v>
      </c>
      <c r="BA35" s="64" t="s">
        <v>198</v>
      </c>
      <c r="BB35" s="65" t="s">
        <v>198</v>
      </c>
      <c r="BC35" s="110" t="str">
        <f>IF(ISERROR(MATCH(V35,'Nomina Barbara'!$C$11:$C$199,0)),"","YES")</f>
        <v/>
      </c>
      <c r="BD35" s="111" t="str">
        <f>IF(ISERROR(MATCH(W35,'Nomina Barbara'!$C$11:$C$199,0)),"","YES")</f>
        <v/>
      </c>
      <c r="BE35" s="59"/>
      <c r="BF35" s="59"/>
      <c r="BG35" s="59"/>
      <c r="BH35" s="59"/>
      <c r="BI35" s="157">
        <v>700</v>
      </c>
      <c r="BJ35" s="174" t="s">
        <v>281</v>
      </c>
      <c r="BK35" s="123" t="s">
        <v>282</v>
      </c>
      <c r="BL35" s="124" t="str">
        <f>BK35</f>
        <v>(dh,tz)</v>
      </c>
      <c r="BM35" s="133"/>
    </row>
    <row r="36" spans="2:65" ht="34" customHeight="1">
      <c r="B36" s="77"/>
      <c r="C36" s="9"/>
      <c r="D36" s="14"/>
      <c r="E36" s="10" t="s">
        <v>2</v>
      </c>
      <c r="F36" s="10">
        <f>(F35-1)*$I$7</f>
        <v>0</v>
      </c>
      <c r="G36" s="17" t="s">
        <v>123</v>
      </c>
      <c r="H36" s="10"/>
      <c r="I36" s="26">
        <f>G$38+11</f>
        <v>11</v>
      </c>
      <c r="J36" s="19">
        <f>G$38+3</f>
        <v>3</v>
      </c>
      <c r="K36" s="19">
        <f>G$38+15</f>
        <v>15</v>
      </c>
      <c r="L36" s="21">
        <f>G$38+7</f>
        <v>7</v>
      </c>
      <c r="M36" s="27">
        <f>G$38+24+G40</f>
        <v>24</v>
      </c>
      <c r="N36" s="13"/>
      <c r="O36" s="13"/>
      <c r="P36" s="13"/>
      <c r="Q36" s="13"/>
      <c r="R36" s="13"/>
      <c r="S36" s="13"/>
      <c r="T36" s="18" t="s">
        <v>109</v>
      </c>
      <c r="U36" s="13">
        <f>M36</f>
        <v>24</v>
      </c>
      <c r="V36" s="13" t="str">
        <f t="shared" ref="V36:V42" si="24">IF(U36-31&lt;0,"",U36-31)</f>
        <v/>
      </c>
      <c r="W36" s="13" t="str">
        <f t="shared" ref="W36:W42" si="25">IF(U36-41&lt;0,"",U36-41)</f>
        <v/>
      </c>
      <c r="X36" s="16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66">
        <v>600</v>
      </c>
      <c r="AZ36" s="67" t="s">
        <v>199</v>
      </c>
      <c r="BA36" s="68" t="s">
        <v>200</v>
      </c>
      <c r="BB36" s="69" t="str">
        <f>BA36</f>
        <v>(kh,ch)</v>
      </c>
      <c r="BC36" s="110" t="str">
        <f>IF(ISERROR(MATCH(V36,'Nomina Barbara'!$C$11:$C$199,0)),"","YES")</f>
        <v/>
      </c>
      <c r="BD36" s="111" t="str">
        <f>IF(ISERROR(MATCH(W36,'Nomina Barbara'!$C$11:$C$199,0)),"","YES")</f>
        <v/>
      </c>
      <c r="BE36" s="59"/>
      <c r="BF36" s="59"/>
      <c r="BG36" s="59"/>
      <c r="BH36" s="59"/>
      <c r="BI36" s="149">
        <v>800</v>
      </c>
      <c r="BJ36" s="175" t="s">
        <v>283</v>
      </c>
      <c r="BK36" s="120" t="s">
        <v>284</v>
      </c>
      <c r="BL36" s="121" t="str">
        <f>BK36</f>
        <v>d</v>
      </c>
      <c r="BM36" s="133"/>
    </row>
    <row r="37" spans="2:65" ht="34" customHeight="1">
      <c r="B37" s="77"/>
      <c r="C37" s="9"/>
      <c r="D37" s="14"/>
      <c r="E37" s="10" t="s">
        <v>3</v>
      </c>
      <c r="F37" s="10">
        <f>5/2</f>
        <v>2.5</v>
      </c>
      <c r="G37" s="17" t="s">
        <v>123</v>
      </c>
      <c r="H37" s="10"/>
      <c r="I37" s="26">
        <f>G$38+5</f>
        <v>5</v>
      </c>
      <c r="J37" s="19">
        <f>G$38+22+G40</f>
        <v>22</v>
      </c>
      <c r="K37" s="19">
        <f>G$38+14</f>
        <v>14</v>
      </c>
      <c r="L37" s="21">
        <f>G$38+1</f>
        <v>1</v>
      </c>
      <c r="M37" s="27">
        <f>G$38+18</f>
        <v>18</v>
      </c>
      <c r="N37" s="13"/>
      <c r="O37" s="13"/>
      <c r="P37" s="13"/>
      <c r="Q37" s="13"/>
      <c r="R37" s="13"/>
      <c r="S37" s="13"/>
      <c r="T37" s="18" t="s">
        <v>110</v>
      </c>
      <c r="U37" s="13">
        <f>SUM(U35:U36)</f>
        <v>24</v>
      </c>
      <c r="V37" s="13" t="str">
        <f t="shared" si="24"/>
        <v/>
      </c>
      <c r="W37" s="13" t="str">
        <f t="shared" si="25"/>
        <v/>
      </c>
      <c r="X37" s="16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62">
        <v>700</v>
      </c>
      <c r="AZ37" s="63" t="s">
        <v>201</v>
      </c>
      <c r="BA37" s="64" t="s">
        <v>202</v>
      </c>
      <c r="BB37" s="65" t="str">
        <f>BA37</f>
        <v>(dh,tz)</v>
      </c>
      <c r="BC37" s="110" t="str">
        <f>IF(ISERROR(MATCH(V37,'Nomina Barbara'!$C$11:$C$199,0)),"","YES")</f>
        <v/>
      </c>
      <c r="BD37" s="111" t="str">
        <f>IF(ISERROR(MATCH(W37,'Nomina Barbara'!$C$11:$C$199,0)),"","YES")</f>
        <v/>
      </c>
      <c r="BE37" s="59"/>
      <c r="BF37" s="59"/>
      <c r="BG37" s="59"/>
      <c r="BH37" s="59"/>
      <c r="BI37" s="157">
        <v>900</v>
      </c>
      <c r="BJ37" s="174" t="s">
        <v>285</v>
      </c>
      <c r="BK37" s="123" t="s">
        <v>286</v>
      </c>
      <c r="BL37" s="124" t="str">
        <f>BK37</f>
        <v>(zh,z)</v>
      </c>
      <c r="BM37" s="133"/>
    </row>
    <row r="38" spans="2:65" ht="34" customHeight="1" thickBot="1">
      <c r="B38" s="77"/>
      <c r="C38" s="9"/>
      <c r="D38" s="14"/>
      <c r="E38" s="10" t="s">
        <v>4</v>
      </c>
      <c r="F38" s="10">
        <f>(($I$6/F37)-F36)/2</f>
        <v>0</v>
      </c>
      <c r="G38" s="10">
        <f>ROUNDDOWN((ROUNDDOWN(($I$6/F37),0)-F36)/2,0)</f>
        <v>0</v>
      </c>
      <c r="H38" s="10"/>
      <c r="I38" s="33">
        <f>G$38+4</f>
        <v>4</v>
      </c>
      <c r="J38" s="21">
        <f>G$38+16</f>
        <v>16</v>
      </c>
      <c r="K38" s="21">
        <f>G$38+8</f>
        <v>8</v>
      </c>
      <c r="L38" s="21">
        <f>G$38+20+G40</f>
        <v>20</v>
      </c>
      <c r="M38" s="27">
        <f>G$38+12</f>
        <v>12</v>
      </c>
      <c r="N38" s="13"/>
      <c r="O38" s="13"/>
      <c r="P38" s="13"/>
      <c r="Q38" s="13"/>
      <c r="R38" s="13"/>
      <c r="S38" s="13"/>
      <c r="T38" s="18" t="s">
        <v>111</v>
      </c>
      <c r="U38" s="13">
        <f>$I$6</f>
        <v>0</v>
      </c>
      <c r="V38" s="13" t="str">
        <f t="shared" si="24"/>
        <v/>
      </c>
      <c r="W38" s="13" t="str">
        <f t="shared" si="25"/>
        <v/>
      </c>
      <c r="X38" s="16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66">
        <v>800</v>
      </c>
      <c r="AZ38" s="67" t="s">
        <v>203</v>
      </c>
      <c r="BA38" s="68" t="s">
        <v>30</v>
      </c>
      <c r="BB38" s="69" t="str">
        <f>BA38</f>
        <v>d</v>
      </c>
      <c r="BC38" s="110" t="str">
        <f>IF(ISERROR(MATCH(V38,'Nomina Barbara'!$C$11:$C$199,0)),"","YES")</f>
        <v/>
      </c>
      <c r="BD38" s="111" t="str">
        <f>IF(ISERROR(MATCH(W38,'Nomina Barbara'!$C$11:$C$199,0)),"","YES")</f>
        <v/>
      </c>
      <c r="BE38" s="59"/>
      <c r="BF38" s="59"/>
      <c r="BG38" s="59"/>
      <c r="BH38" s="59"/>
      <c r="BI38" s="176">
        <v>1000</v>
      </c>
      <c r="BJ38" s="177" t="s">
        <v>287</v>
      </c>
      <c r="BK38" s="178" t="s">
        <v>206</v>
      </c>
      <c r="BL38" s="179" t="str">
        <f>BK38</f>
        <v>(gh,g)</v>
      </c>
      <c r="BM38" s="133"/>
    </row>
    <row r="39" spans="2:65" ht="34" customHeight="1" thickBot="1">
      <c r="B39" s="77"/>
      <c r="C39" s="9"/>
      <c r="D39" s="14"/>
      <c r="E39" s="10" t="s">
        <v>5</v>
      </c>
      <c r="F39" s="20">
        <f>M36</f>
        <v>24</v>
      </c>
      <c r="G39" s="10">
        <f>M36</f>
        <v>24</v>
      </c>
      <c r="H39" s="13"/>
      <c r="I39" s="28">
        <f>G$38+23+G40</f>
        <v>23</v>
      </c>
      <c r="J39" s="29">
        <f>G$38+10</f>
        <v>10</v>
      </c>
      <c r="K39" s="29">
        <f>G$38+2</f>
        <v>2</v>
      </c>
      <c r="L39" s="29">
        <f>G$38+19</f>
        <v>19</v>
      </c>
      <c r="M39" s="30">
        <f>G$38+6</f>
        <v>6</v>
      </c>
      <c r="N39" s="13"/>
      <c r="O39" s="13"/>
      <c r="P39" s="13"/>
      <c r="Q39" s="13"/>
      <c r="R39" s="13"/>
      <c r="S39" s="13"/>
      <c r="T39" s="18" t="s">
        <v>112</v>
      </c>
      <c r="U39" s="13">
        <f>SUM(I35:M39)</f>
        <v>300</v>
      </c>
      <c r="V39" s="13">
        <f t="shared" si="24"/>
        <v>269</v>
      </c>
      <c r="W39" s="13">
        <f t="shared" si="25"/>
        <v>259</v>
      </c>
      <c r="X39" s="16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62">
        <v>900</v>
      </c>
      <c r="AZ39" s="63" t="s">
        <v>204</v>
      </c>
      <c r="BA39" s="64" t="s">
        <v>205</v>
      </c>
      <c r="BB39" s="65" t="str">
        <f>BA39</f>
        <v>(zh,z)</v>
      </c>
      <c r="BC39" s="110" t="str">
        <f>IF(ISERROR(MATCH(V39,'Nomina Barbara'!$C$11:$C$199,0)),"","YES")</f>
        <v/>
      </c>
      <c r="BD39" s="111" t="str">
        <f>IF(ISERROR(MATCH(W39,'Nomina Barbara'!$C$11:$C$199,0)),"","YES")</f>
        <v/>
      </c>
      <c r="BE39" s="59"/>
      <c r="BF39" s="59"/>
      <c r="BG39" s="59"/>
      <c r="BH39" s="59"/>
      <c r="BI39" s="59"/>
      <c r="BJ39" s="59"/>
      <c r="BK39" s="59"/>
      <c r="BL39" s="59"/>
      <c r="BM39" s="133"/>
    </row>
    <row r="40" spans="2:65" ht="34" customHeight="1">
      <c r="B40" s="77"/>
      <c r="C40" s="9"/>
      <c r="D40" s="14"/>
      <c r="E40" s="10" t="s">
        <v>0</v>
      </c>
      <c r="F40" s="17" t="s">
        <v>123</v>
      </c>
      <c r="G40" s="10">
        <f>ABS(SUM(G38+($I$7*17),G38+($I$7*9),G38+($I$7*21),G38+($I$7*13),G38)-$I$6)</f>
        <v>0</v>
      </c>
      <c r="H40" s="13"/>
      <c r="I40" s="13"/>
      <c r="J40" s="13"/>
      <c r="K40" s="13"/>
      <c r="L40" s="13"/>
      <c r="M40" s="44" t="str">
        <f>IF(G40=0,"*unamended","*amended")</f>
        <v>*unamended</v>
      </c>
      <c r="N40" s="13"/>
      <c r="O40" s="13"/>
      <c r="P40" s="13"/>
      <c r="Q40" s="13"/>
      <c r="R40" s="13"/>
      <c r="S40" s="13"/>
      <c r="T40" s="18" t="s">
        <v>113</v>
      </c>
      <c r="U40" s="13">
        <f>SUM(U38:U39)</f>
        <v>300</v>
      </c>
      <c r="V40" s="13">
        <f t="shared" si="24"/>
        <v>269</v>
      </c>
      <c r="W40" s="13">
        <f t="shared" si="25"/>
        <v>259</v>
      </c>
      <c r="X40" s="16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66">
        <v>1000</v>
      </c>
      <c r="AZ40" s="67" t="s">
        <v>23</v>
      </c>
      <c r="BA40" s="68" t="s">
        <v>206</v>
      </c>
      <c r="BB40" s="69" t="str">
        <f>BA40</f>
        <v>(gh,g)</v>
      </c>
      <c r="BC40" s="110" t="str">
        <f>IF(ISERROR(MATCH(V40,'Nomina Barbara'!$C$11:$C$199,0)),"","YES")</f>
        <v/>
      </c>
      <c r="BD40" s="111" t="str">
        <f>IF(ISERROR(MATCH(W40,'Nomina Barbara'!$C$11:$C$199,0)),"","YES")</f>
        <v/>
      </c>
      <c r="BE40" s="59"/>
      <c r="BF40" s="59"/>
      <c r="BG40" s="59"/>
      <c r="BH40" s="59"/>
      <c r="BI40" s="59"/>
      <c r="BJ40" s="59"/>
      <c r="BK40" s="59"/>
      <c r="BL40" s="59"/>
      <c r="BM40" s="133"/>
    </row>
    <row r="41" spans="2:65" ht="34" customHeight="1">
      <c r="B41" s="77"/>
      <c r="C41" s="9"/>
      <c r="D41" s="14"/>
      <c r="E41" s="10" t="s">
        <v>1</v>
      </c>
      <c r="F41" s="17" t="s">
        <v>123</v>
      </c>
      <c r="G41" s="10">
        <v>21</v>
      </c>
      <c r="H41" s="13"/>
      <c r="I41" s="13"/>
      <c r="J41" s="13"/>
      <c r="K41" s="13"/>
      <c r="L41" s="13"/>
      <c r="M41" s="45" t="str">
        <f>IF(M40="*unamended","","remainder= "&amp;G40)</f>
        <v/>
      </c>
      <c r="N41" s="13"/>
      <c r="O41" s="13"/>
      <c r="P41" s="13"/>
      <c r="Q41" s="13"/>
      <c r="R41" s="13"/>
      <c r="S41" s="13"/>
      <c r="T41" s="18" t="s">
        <v>114</v>
      </c>
      <c r="U41" s="13">
        <f>U40*2</f>
        <v>600</v>
      </c>
      <c r="V41" s="13">
        <f t="shared" si="24"/>
        <v>569</v>
      </c>
      <c r="W41" s="13">
        <f t="shared" si="25"/>
        <v>559</v>
      </c>
      <c r="X41" s="16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66">
        <v>2000</v>
      </c>
      <c r="AZ41" s="67" t="str">
        <f t="shared" ref="AZ41:AZ66" si="26">VLOOKUP(BG41,$AY$13:$AZ$40,2)&amp;VLOOKUP(BF41,$AY$13:$AZ$40,2)</f>
        <v>ab</v>
      </c>
      <c r="BA41" s="68" t="str">
        <f t="shared" ref="BA41:BA66" si="27">VLOOKUP(BG41,$AY$13:$BA$40,3)&amp;VLOOKUP(BF41,$AY$13:$BA$40,3)</f>
        <v>(gh,g)(b/v/w)</v>
      </c>
      <c r="BB41" s="69" t="str">
        <f t="shared" ref="BB41:BB66" si="28">VLOOKUP(BG41,$AY$13:$BB$40,4)&amp;VLOOKUP(BF41,$AY$13:$BB$40,4)</f>
        <v>(gh,g)b</v>
      </c>
      <c r="BC41" s="110" t="str">
        <f>IF(ISERROR(MATCH(V41,'Nomina Barbara'!$C$11:$C$199,0)),"","YES")</f>
        <v/>
      </c>
      <c r="BD41" s="111" t="str">
        <f>IF(ISERROR(MATCH(W41,'Nomina Barbara'!$C$11:$C$199,0)),"","YES")</f>
        <v/>
      </c>
      <c r="BE41" s="59"/>
      <c r="BF41" s="59">
        <v>2</v>
      </c>
      <c r="BG41" s="59">
        <v>1000</v>
      </c>
      <c r="BH41" s="59"/>
      <c r="BI41" s="59"/>
      <c r="BJ41" s="59"/>
      <c r="BK41" s="59"/>
      <c r="BL41" s="59"/>
      <c r="BM41" s="133"/>
    </row>
    <row r="42" spans="2:65" ht="34" customHeight="1">
      <c r="B42" s="77"/>
      <c r="C42" s="9"/>
      <c r="D42" s="14"/>
      <c r="E42" s="10"/>
      <c r="F42" s="10"/>
      <c r="G42" s="10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8" t="s">
        <v>115</v>
      </c>
      <c r="U42" s="13">
        <f>U41*U36</f>
        <v>14400</v>
      </c>
      <c r="V42" s="13">
        <f t="shared" si="24"/>
        <v>14369</v>
      </c>
      <c r="W42" s="13">
        <f t="shared" si="25"/>
        <v>14359</v>
      </c>
      <c r="X42" s="16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62">
        <v>3000</v>
      </c>
      <c r="AZ42" s="63" t="str">
        <f t="shared" si="26"/>
        <v>ag</v>
      </c>
      <c r="BA42" s="64" t="str">
        <f t="shared" si="27"/>
        <v>(gh,g)g</v>
      </c>
      <c r="BB42" s="65" t="str">
        <f t="shared" si="28"/>
        <v>(gh,g)g</v>
      </c>
      <c r="BC42" s="110" t="str">
        <f>IF(ISERROR(MATCH(V42,'Nomina Barbara'!$C$11:$C$199,0)),"","YES")</f>
        <v/>
      </c>
      <c r="BD42" s="111" t="str">
        <f>IF(ISERROR(MATCH(W42,'Nomina Barbara'!$C$11:$C$199,0)),"","YES")</f>
        <v/>
      </c>
      <c r="BE42" s="59"/>
      <c r="BF42" s="59">
        <v>3</v>
      </c>
      <c r="BG42" s="59">
        <v>1000</v>
      </c>
      <c r="BH42" s="59"/>
      <c r="BI42" s="59"/>
      <c r="BJ42" s="59"/>
      <c r="BK42" s="59"/>
      <c r="BL42" s="59"/>
      <c r="BM42" s="133"/>
    </row>
    <row r="43" spans="2:65" ht="34" customHeight="1" thickBot="1">
      <c r="B43" s="77"/>
      <c r="C43" s="5"/>
      <c r="D43" s="6"/>
      <c r="E43" s="6"/>
      <c r="F43" s="6"/>
      <c r="G43" s="6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6"/>
      <c r="U43" s="6"/>
      <c r="V43" s="6"/>
      <c r="W43" s="6"/>
      <c r="X43" s="7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66">
        <v>4000</v>
      </c>
      <c r="AZ43" s="67" t="str">
        <f t="shared" si="26"/>
        <v>ad</v>
      </c>
      <c r="BA43" s="68" t="str">
        <f t="shared" si="27"/>
        <v>(gh,g)d</v>
      </c>
      <c r="BB43" s="69" t="str">
        <f t="shared" si="28"/>
        <v>(gh,g)d</v>
      </c>
      <c r="BC43" s="112"/>
      <c r="BD43" s="113"/>
      <c r="BE43" s="59"/>
      <c r="BF43" s="59">
        <v>4</v>
      </c>
      <c r="BG43" s="59">
        <v>1000</v>
      </c>
      <c r="BH43" s="59"/>
      <c r="BI43" s="59"/>
      <c r="BJ43" s="59"/>
      <c r="BK43" s="59"/>
      <c r="BL43" s="59"/>
      <c r="BM43" s="133"/>
    </row>
    <row r="44" spans="2:65" ht="34" customHeight="1" thickBot="1">
      <c r="B44" s="77"/>
      <c r="C44" s="59"/>
      <c r="D44" s="59"/>
      <c r="E44" s="59"/>
      <c r="F44" s="59"/>
      <c r="G44" s="59"/>
      <c r="H44" s="59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62">
        <v>5000</v>
      </c>
      <c r="AZ44" s="63" t="str">
        <f t="shared" si="26"/>
        <v>ah</v>
      </c>
      <c r="BA44" s="64" t="str">
        <f t="shared" si="27"/>
        <v>(gh,g)h</v>
      </c>
      <c r="BB44" s="65" t="str">
        <f t="shared" si="28"/>
        <v>(gh,g)h</v>
      </c>
      <c r="BC44" s="59"/>
      <c r="BD44" s="59"/>
      <c r="BE44" s="59"/>
      <c r="BF44" s="59">
        <v>5</v>
      </c>
      <c r="BG44" s="59">
        <v>1000</v>
      </c>
      <c r="BH44" s="59"/>
      <c r="BI44" s="59"/>
      <c r="BJ44" s="59"/>
      <c r="BK44" s="59"/>
      <c r="BL44" s="59"/>
      <c r="BM44" s="133"/>
    </row>
    <row r="45" spans="2:65" ht="34" customHeight="1">
      <c r="B45" s="77"/>
      <c r="C45" s="2"/>
      <c r="D45" s="34"/>
      <c r="E45" s="34"/>
      <c r="F45" s="3"/>
      <c r="G45" s="3"/>
      <c r="H45" s="3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3"/>
      <c r="U45" s="180" t="s">
        <v>135</v>
      </c>
      <c r="V45" s="180"/>
      <c r="W45" s="180"/>
      <c r="X45" s="4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66">
        <v>6000</v>
      </c>
      <c r="AZ45" s="67" t="str">
        <f t="shared" si="26"/>
        <v>av</v>
      </c>
      <c r="BA45" s="68" t="str">
        <f t="shared" si="27"/>
        <v>(gh,g)(v/o/u)</v>
      </c>
      <c r="BB45" s="69" t="str">
        <f t="shared" si="28"/>
        <v>(gh,g)v</v>
      </c>
      <c r="BC45" s="181" t="s">
        <v>195</v>
      </c>
      <c r="BD45" s="182"/>
      <c r="BE45" s="59"/>
      <c r="BF45" s="59">
        <v>6</v>
      </c>
      <c r="BG45" s="59">
        <v>1000</v>
      </c>
      <c r="BH45" s="59"/>
      <c r="BI45" s="59"/>
      <c r="BJ45" s="59"/>
      <c r="BK45" s="59"/>
      <c r="BL45" s="59"/>
      <c r="BM45" s="133"/>
    </row>
    <row r="46" spans="2:65" ht="34" customHeight="1" thickBot="1">
      <c r="B46" s="77"/>
      <c r="C46" s="9"/>
      <c r="D46" s="14"/>
      <c r="E46" s="10"/>
      <c r="F46" s="11" t="s">
        <v>125</v>
      </c>
      <c r="G46" s="11" t="s">
        <v>126</v>
      </c>
      <c r="H46" s="10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4"/>
      <c r="U46" s="15" t="s">
        <v>119</v>
      </c>
      <c r="V46" s="15" t="s">
        <v>120</v>
      </c>
      <c r="W46" s="15" t="s">
        <v>121</v>
      </c>
      <c r="X46" s="16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62">
        <v>7000</v>
      </c>
      <c r="AZ46" s="63" t="str">
        <f t="shared" si="26"/>
        <v>az</v>
      </c>
      <c r="BA46" s="64" t="str">
        <f t="shared" si="27"/>
        <v>(gh,g)(z/s)</v>
      </c>
      <c r="BB46" s="65" t="str">
        <f t="shared" si="28"/>
        <v>(gh,g)z</v>
      </c>
      <c r="BC46" s="108" t="s">
        <v>228</v>
      </c>
      <c r="BD46" s="109" t="s">
        <v>229</v>
      </c>
      <c r="BE46" s="59"/>
      <c r="BF46" s="59">
        <v>7</v>
      </c>
      <c r="BG46" s="59">
        <v>1000</v>
      </c>
      <c r="BH46" s="59"/>
      <c r="BI46" s="59"/>
      <c r="BJ46" s="59"/>
      <c r="BK46" s="59"/>
      <c r="BL46" s="59"/>
      <c r="BM46" s="133"/>
    </row>
    <row r="47" spans="2:65" ht="34" customHeight="1">
      <c r="B47" s="77"/>
      <c r="C47" s="9"/>
      <c r="D47" s="14"/>
      <c r="E47" s="10" t="s">
        <v>122</v>
      </c>
      <c r="F47" s="10">
        <v>36</v>
      </c>
      <c r="G47" s="17" t="s">
        <v>123</v>
      </c>
      <c r="H47" s="10"/>
      <c r="I47" s="23">
        <f>G50+($I$7*35)+G52</f>
        <v>0</v>
      </c>
      <c r="J47" s="24">
        <f>G50+($I$7*29)</f>
        <v>0</v>
      </c>
      <c r="K47" s="24">
        <f>G50+($I$7*23)</f>
        <v>0</v>
      </c>
      <c r="L47" s="32">
        <f>G50+($I$7*12)</f>
        <v>0</v>
      </c>
      <c r="M47" s="32">
        <f>G50+($I$7*6)</f>
        <v>0</v>
      </c>
      <c r="N47" s="25">
        <f>G50</f>
        <v>0</v>
      </c>
      <c r="O47" s="13"/>
      <c r="P47" s="13"/>
      <c r="Q47" s="13"/>
      <c r="R47" s="13"/>
      <c r="S47" s="13"/>
      <c r="T47" s="18" t="s">
        <v>124</v>
      </c>
      <c r="U47" s="13">
        <f>N47</f>
        <v>0</v>
      </c>
      <c r="V47" s="13" t="str">
        <f>IF(U47-31&lt;0,"",U47-31)</f>
        <v/>
      </c>
      <c r="W47" s="13" t="str">
        <f>IF(U47-41&lt;0,"",U47-41)</f>
        <v/>
      </c>
      <c r="X47" s="16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66">
        <v>8000</v>
      </c>
      <c r="AZ47" s="67" t="str">
        <f t="shared" si="26"/>
        <v>ax</v>
      </c>
      <c r="BA47" s="68" t="str">
        <f t="shared" si="27"/>
        <v>(gh,g)ch</v>
      </c>
      <c r="BB47" s="69" t="str">
        <f t="shared" si="28"/>
        <v>(gh,g)ch</v>
      </c>
      <c r="BC47" s="110" t="str">
        <f>IF(ISERROR(MATCH(V47,'Nomina Barbara'!$C$11:$C$199,0)),"","YES")</f>
        <v/>
      </c>
      <c r="BD47" s="111" t="str">
        <f>IF(ISERROR(MATCH(W47,'Nomina Barbara'!$C$11:$C$199,0)),"","YES")</f>
        <v/>
      </c>
      <c r="BE47" s="59"/>
      <c r="BF47" s="59">
        <v>8</v>
      </c>
      <c r="BG47" s="59">
        <v>1000</v>
      </c>
      <c r="BH47" s="59"/>
      <c r="BI47" s="59"/>
      <c r="BJ47" s="59"/>
      <c r="BK47" s="59"/>
      <c r="BL47" s="59"/>
      <c r="BM47" s="133"/>
    </row>
    <row r="48" spans="2:65" ht="34" customHeight="1">
      <c r="B48" s="77"/>
      <c r="C48" s="9"/>
      <c r="D48" s="14"/>
      <c r="E48" s="10" t="s">
        <v>2</v>
      </c>
      <c r="F48" s="10">
        <f>(F47-1)*$I$7</f>
        <v>0</v>
      </c>
      <c r="G48" s="17" t="s">
        <v>123</v>
      </c>
      <c r="H48" s="10"/>
      <c r="I48" s="26">
        <f>G50+($I$7*24)</f>
        <v>0</v>
      </c>
      <c r="J48" s="19">
        <f>G50+($I$7*18)</f>
        <v>0</v>
      </c>
      <c r="K48" s="19">
        <f>G50+($I$7*2)</f>
        <v>0</v>
      </c>
      <c r="L48" s="21">
        <f>G50+($I$7*34)+G52</f>
        <v>0</v>
      </c>
      <c r="M48" s="21">
        <f>G50+($I$7*16)</f>
        <v>0</v>
      </c>
      <c r="N48" s="27">
        <f>G50+($I$7*11)</f>
        <v>0</v>
      </c>
      <c r="O48" s="13"/>
      <c r="P48" s="13"/>
      <c r="Q48" s="13"/>
      <c r="R48" s="13"/>
      <c r="S48" s="13"/>
      <c r="T48" s="18" t="s">
        <v>109</v>
      </c>
      <c r="U48" s="13">
        <f>I47</f>
        <v>0</v>
      </c>
      <c r="V48" s="13" t="str">
        <f t="shared" ref="V48:V54" si="29">IF(U48-31&lt;0,"",U48-31)</f>
        <v/>
      </c>
      <c r="W48" s="13" t="str">
        <f t="shared" ref="W48:W54" si="30">IF(U48-41&lt;0,"",U48-41)</f>
        <v/>
      </c>
      <c r="X48" s="16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62">
        <v>9000</v>
      </c>
      <c r="AZ48" s="63" t="str">
        <f t="shared" si="26"/>
        <v>au</v>
      </c>
      <c r="BA48" s="64" t="str">
        <f t="shared" si="27"/>
        <v>(gh,g)t</v>
      </c>
      <c r="BB48" s="65" t="str">
        <f t="shared" si="28"/>
        <v>(gh,g)t</v>
      </c>
      <c r="BC48" s="110" t="str">
        <f>IF(ISERROR(MATCH(V48,'Nomina Barbara'!$C$11:$C$199,0)),"","YES")</f>
        <v/>
      </c>
      <c r="BD48" s="111" t="str">
        <f>IF(ISERROR(MATCH(W48,'Nomina Barbara'!$C$11:$C$199,0)),"","YES")</f>
        <v/>
      </c>
      <c r="BE48" s="59"/>
      <c r="BF48" s="59">
        <v>9</v>
      </c>
      <c r="BG48" s="59">
        <v>1000</v>
      </c>
      <c r="BH48" s="59"/>
      <c r="BI48" s="59"/>
      <c r="BJ48" s="59"/>
      <c r="BK48" s="59"/>
      <c r="BL48" s="59"/>
      <c r="BM48" s="133"/>
    </row>
    <row r="49" spans="2:65" ht="34" customHeight="1">
      <c r="B49" s="77"/>
      <c r="C49" s="9"/>
      <c r="D49" s="14"/>
      <c r="E49" s="10" t="s">
        <v>3</v>
      </c>
      <c r="F49" s="10">
        <f>6/2</f>
        <v>3</v>
      </c>
      <c r="G49" s="17" t="s">
        <v>123</v>
      </c>
      <c r="H49" s="10"/>
      <c r="I49" s="26">
        <f>G50+($I$7*5)</f>
        <v>0</v>
      </c>
      <c r="J49" s="19">
        <f>G50+($I$7*9)</f>
        <v>0</v>
      </c>
      <c r="K49" s="19">
        <f>G50+($I$7*13)</f>
        <v>0</v>
      </c>
      <c r="L49" s="21">
        <f>G50+($I$7*20)</f>
        <v>0</v>
      </c>
      <c r="M49" s="21">
        <f>G50+($I$7*27)</f>
        <v>0</v>
      </c>
      <c r="N49" s="27">
        <f>G50+($I$7*31)+G52</f>
        <v>0</v>
      </c>
      <c r="O49" s="13"/>
      <c r="P49" s="13"/>
      <c r="Q49" s="13"/>
      <c r="R49" s="13"/>
      <c r="S49" s="13"/>
      <c r="T49" s="18" t="s">
        <v>110</v>
      </c>
      <c r="U49" s="13">
        <f>SUM(U47:U48)</f>
        <v>0</v>
      </c>
      <c r="V49" s="13" t="str">
        <f t="shared" si="29"/>
        <v/>
      </c>
      <c r="W49" s="13" t="str">
        <f t="shared" si="30"/>
        <v/>
      </c>
      <c r="X49" s="16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66">
        <v>10000</v>
      </c>
      <c r="AZ49" s="67" t="str">
        <f t="shared" si="26"/>
        <v>ay</v>
      </c>
      <c r="BA49" s="68" t="str">
        <f t="shared" si="27"/>
        <v>(gh,g)(i/j/y)</v>
      </c>
      <c r="BB49" s="69" t="str">
        <f t="shared" si="28"/>
        <v>(gh,g)y</v>
      </c>
      <c r="BC49" s="110" t="str">
        <f>IF(ISERROR(MATCH(V49,'Nomina Barbara'!$C$11:$C$199,0)),"","YES")</f>
        <v/>
      </c>
      <c r="BD49" s="111" t="str">
        <f>IF(ISERROR(MATCH(W49,'Nomina Barbara'!$C$11:$C$199,0)),"","YES")</f>
        <v/>
      </c>
      <c r="BE49" s="59"/>
      <c r="BF49" s="59">
        <v>10</v>
      </c>
      <c r="BG49" s="59">
        <v>1000</v>
      </c>
      <c r="BH49" s="59"/>
      <c r="BI49" s="59"/>
      <c r="BJ49" s="59"/>
      <c r="BK49" s="59"/>
      <c r="BL49" s="59"/>
      <c r="BM49" s="133"/>
    </row>
    <row r="50" spans="2:65" ht="34" customHeight="1">
      <c r="B50" s="77"/>
      <c r="C50" s="9"/>
      <c r="D50" s="14"/>
      <c r="E50" s="10" t="s">
        <v>4</v>
      </c>
      <c r="F50" s="10">
        <f>(($I$6/F49)-F48)/2</f>
        <v>0</v>
      </c>
      <c r="G50" s="10">
        <f>ROUNDDOWN((ROUNDDOWN(($I$6/F49),0)-F48)/2,0)</f>
        <v>0</v>
      </c>
      <c r="H50" s="10"/>
      <c r="I50" s="33">
        <f>G50+($I$7*19)</f>
        <v>0</v>
      </c>
      <c r="J50" s="21">
        <f>G50+($I$7*1)</f>
        <v>0</v>
      </c>
      <c r="K50" s="21">
        <f>G50+($I$7*28)</f>
        <v>0</v>
      </c>
      <c r="L50" s="21">
        <f>G50+($I$7*10)</f>
        <v>0</v>
      </c>
      <c r="M50" s="21">
        <f>G50+($I$7*30)</f>
        <v>0</v>
      </c>
      <c r="N50" s="27">
        <f>G50+($I$7*17)</f>
        <v>0</v>
      </c>
      <c r="O50" s="13"/>
      <c r="P50" s="13"/>
      <c r="Q50" s="13"/>
      <c r="R50" s="13"/>
      <c r="S50" s="13"/>
      <c r="T50" s="18" t="s">
        <v>111</v>
      </c>
      <c r="U50" s="13">
        <f>$I$6</f>
        <v>0</v>
      </c>
      <c r="V50" s="13" t="str">
        <f t="shared" si="29"/>
        <v/>
      </c>
      <c r="W50" s="13" t="str">
        <f t="shared" si="30"/>
        <v/>
      </c>
      <c r="X50" s="16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62">
        <v>20000</v>
      </c>
      <c r="AZ50" s="63" t="str">
        <f t="shared" si="26"/>
        <v>ak</v>
      </c>
      <c r="BA50" s="64" t="str">
        <f t="shared" si="27"/>
        <v>(gh,g)k</v>
      </c>
      <c r="BB50" s="65" t="str">
        <f t="shared" si="28"/>
        <v>(gh,g)k</v>
      </c>
      <c r="BC50" s="110" t="str">
        <f>IF(ISERROR(MATCH(V50,'Nomina Barbara'!$C$11:$C$199,0)),"","YES")</f>
        <v/>
      </c>
      <c r="BD50" s="111" t="str">
        <f>IF(ISERROR(MATCH(W50,'Nomina Barbara'!$C$11:$C$199,0)),"","YES")</f>
        <v/>
      </c>
      <c r="BE50" s="59"/>
      <c r="BF50" s="59">
        <v>20</v>
      </c>
      <c r="BG50" s="59">
        <v>1000</v>
      </c>
      <c r="BH50" s="59"/>
      <c r="BI50" s="59"/>
      <c r="BJ50" s="59"/>
      <c r="BK50" s="59"/>
      <c r="BL50" s="59"/>
      <c r="BM50" s="133"/>
    </row>
    <row r="51" spans="2:65" ht="34" customHeight="1">
      <c r="B51" s="77"/>
      <c r="C51" s="9"/>
      <c r="D51" s="14"/>
      <c r="E51" s="10" t="s">
        <v>5</v>
      </c>
      <c r="F51" s="20">
        <f>I47</f>
        <v>0</v>
      </c>
      <c r="G51" s="10">
        <f>I47</f>
        <v>0</v>
      </c>
      <c r="H51" s="13"/>
      <c r="I51" s="33">
        <f>G50+($I$7*14)</f>
        <v>0</v>
      </c>
      <c r="J51" s="21">
        <f>G50+($I$7*33)+G52</f>
        <v>0</v>
      </c>
      <c r="K51" s="21">
        <f>G50+($I$7*7)</f>
        <v>0</v>
      </c>
      <c r="L51" s="21">
        <f>G50+($I$7*26)</f>
        <v>0</v>
      </c>
      <c r="M51" s="21">
        <f>G50+($I$7*4)</f>
        <v>0</v>
      </c>
      <c r="N51" s="27">
        <f>G50+($I$7*21)</f>
        <v>0</v>
      </c>
      <c r="O51" s="13"/>
      <c r="P51" s="13"/>
      <c r="Q51" s="13"/>
      <c r="R51" s="13"/>
      <c r="S51" s="13"/>
      <c r="T51" s="18" t="s">
        <v>112</v>
      </c>
      <c r="U51" s="13">
        <f>SUM(I47:N52)</f>
        <v>0</v>
      </c>
      <c r="V51" s="13" t="str">
        <f t="shared" si="29"/>
        <v/>
      </c>
      <c r="W51" s="13" t="str">
        <f t="shared" si="30"/>
        <v/>
      </c>
      <c r="X51" s="16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66">
        <v>30000</v>
      </c>
      <c r="AZ51" s="67" t="str">
        <f t="shared" si="26"/>
        <v>al</v>
      </c>
      <c r="BA51" s="68" t="str">
        <f t="shared" si="27"/>
        <v>(gh,g)l</v>
      </c>
      <c r="BB51" s="69" t="str">
        <f t="shared" si="28"/>
        <v>(gh,g)l</v>
      </c>
      <c r="BC51" s="110" t="str">
        <f>IF(ISERROR(MATCH(V51,'Nomina Barbara'!$C$11:$C$199,0)),"","YES")</f>
        <v/>
      </c>
      <c r="BD51" s="111" t="str">
        <f>IF(ISERROR(MATCH(W51,'Nomina Barbara'!$C$11:$C$199,0)),"","YES")</f>
        <v/>
      </c>
      <c r="BE51" s="59"/>
      <c r="BF51" s="59">
        <v>30</v>
      </c>
      <c r="BG51" s="59">
        <v>1000</v>
      </c>
      <c r="BH51" s="59"/>
      <c r="BI51" s="59"/>
      <c r="BJ51" s="59"/>
      <c r="BK51" s="59"/>
      <c r="BL51" s="59"/>
      <c r="BM51" s="133"/>
    </row>
    <row r="52" spans="2:65" ht="34" customHeight="1" thickBot="1">
      <c r="B52" s="77"/>
      <c r="C52" s="9"/>
      <c r="D52" s="14"/>
      <c r="E52" s="10" t="s">
        <v>0</v>
      </c>
      <c r="F52" s="17" t="s">
        <v>123</v>
      </c>
      <c r="G52" s="10">
        <f>ABS(SUM(G50+($I$7*35),G50+($I$7*29),G50+($I$7*23),G50+($I$7*12),G50+($I$7*6),G50)-$I$6)</f>
        <v>0</v>
      </c>
      <c r="H52" s="13"/>
      <c r="I52" s="28">
        <f>G50+($I$7*8)</f>
        <v>0</v>
      </c>
      <c r="J52" s="29">
        <f>G50+($I$7*15)</f>
        <v>0</v>
      </c>
      <c r="K52" s="29">
        <f>G50+($I$7*32)+G52</f>
        <v>0</v>
      </c>
      <c r="L52" s="29">
        <f>G50+($I$7*3)</f>
        <v>0</v>
      </c>
      <c r="M52" s="29">
        <f>G50+($I$7*22)</f>
        <v>0</v>
      </c>
      <c r="N52" s="30">
        <f>G50+($I$7*25)</f>
        <v>0</v>
      </c>
      <c r="O52" s="13"/>
      <c r="P52" s="13"/>
      <c r="Q52" s="13"/>
      <c r="R52" s="13"/>
      <c r="S52" s="13"/>
      <c r="T52" s="18" t="s">
        <v>113</v>
      </c>
      <c r="U52" s="13">
        <f>SUM(U50:U51)</f>
        <v>0</v>
      </c>
      <c r="V52" s="13" t="str">
        <f t="shared" si="29"/>
        <v/>
      </c>
      <c r="W52" s="13" t="str">
        <f t="shared" si="30"/>
        <v/>
      </c>
      <c r="X52" s="16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62">
        <v>40000</v>
      </c>
      <c r="AZ52" s="63" t="str">
        <f t="shared" si="26"/>
        <v>am</v>
      </c>
      <c r="BA52" s="64" t="str">
        <f t="shared" si="27"/>
        <v>(gh,g)m</v>
      </c>
      <c r="BB52" s="65" t="str">
        <f t="shared" si="28"/>
        <v>(gh,g)m</v>
      </c>
      <c r="BC52" s="110" t="str">
        <f>IF(ISERROR(MATCH(V52,'Nomina Barbara'!$C$11:$C$199,0)),"","YES")</f>
        <v/>
      </c>
      <c r="BD52" s="111" t="str">
        <f>IF(ISERROR(MATCH(W52,'Nomina Barbara'!$C$11:$C$199,0)),"","YES")</f>
        <v/>
      </c>
      <c r="BE52" s="59"/>
      <c r="BF52" s="59">
        <v>40</v>
      </c>
      <c r="BG52" s="59">
        <v>1000</v>
      </c>
      <c r="BH52" s="59"/>
      <c r="BI52" s="59"/>
      <c r="BJ52" s="59"/>
      <c r="BK52" s="59"/>
      <c r="BL52" s="59"/>
      <c r="BM52" s="133"/>
    </row>
    <row r="53" spans="2:65" ht="34" customHeight="1">
      <c r="B53" s="77"/>
      <c r="C53" s="9"/>
      <c r="D53" s="14"/>
      <c r="E53" s="10" t="s">
        <v>1</v>
      </c>
      <c r="F53" s="17" t="s">
        <v>123</v>
      </c>
      <c r="G53" s="10">
        <v>31</v>
      </c>
      <c r="H53" s="13"/>
      <c r="I53" s="31"/>
      <c r="J53" s="13"/>
      <c r="K53" s="13"/>
      <c r="L53" s="13"/>
      <c r="M53" s="13"/>
      <c r="N53" s="44" t="str">
        <f>IF(G52=0,"*unamended","*amended")</f>
        <v>*unamended</v>
      </c>
      <c r="O53" s="13"/>
      <c r="P53" s="13"/>
      <c r="Q53" s="13"/>
      <c r="R53" s="13"/>
      <c r="S53" s="13"/>
      <c r="T53" s="18" t="s">
        <v>114</v>
      </c>
      <c r="U53" s="13">
        <f>U52*2</f>
        <v>0</v>
      </c>
      <c r="V53" s="13" t="str">
        <f t="shared" si="29"/>
        <v/>
      </c>
      <c r="W53" s="13" t="str">
        <f t="shared" si="30"/>
        <v/>
      </c>
      <c r="X53" s="16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66">
        <v>50000</v>
      </c>
      <c r="AZ53" s="67" t="str">
        <f t="shared" si="26"/>
        <v>an</v>
      </c>
      <c r="BA53" s="68" t="str">
        <f t="shared" si="27"/>
        <v>(gh,g)n</v>
      </c>
      <c r="BB53" s="69" t="str">
        <f t="shared" si="28"/>
        <v>(gh,g)n</v>
      </c>
      <c r="BC53" s="110" t="str">
        <f>IF(ISERROR(MATCH(V53,'Nomina Barbara'!$C$11:$C$199,0)),"","YES")</f>
        <v/>
      </c>
      <c r="BD53" s="111" t="str">
        <f>IF(ISERROR(MATCH(W53,'Nomina Barbara'!$C$11:$C$199,0)),"","YES")</f>
        <v/>
      </c>
      <c r="BE53" s="59"/>
      <c r="BF53" s="59">
        <v>50</v>
      </c>
      <c r="BG53" s="59">
        <v>1000</v>
      </c>
      <c r="BH53" s="59"/>
      <c r="BI53" s="59"/>
      <c r="BJ53" s="59"/>
      <c r="BK53" s="59"/>
      <c r="BL53" s="59"/>
      <c r="BM53" s="133"/>
    </row>
    <row r="54" spans="2:65" ht="34" customHeight="1">
      <c r="B54" s="77"/>
      <c r="C54" s="9"/>
      <c r="D54" s="14"/>
      <c r="E54" s="10"/>
      <c r="F54" s="10"/>
      <c r="G54" s="10"/>
      <c r="H54" s="13"/>
      <c r="I54" s="13"/>
      <c r="J54" s="13"/>
      <c r="K54" s="13"/>
      <c r="L54" s="13"/>
      <c r="M54" s="13"/>
      <c r="N54" s="45" t="str">
        <f>IF(N53="*unamended","","remainder= "&amp;G52)</f>
        <v/>
      </c>
      <c r="O54" s="13"/>
      <c r="P54" s="13"/>
      <c r="Q54" s="13"/>
      <c r="R54" s="13"/>
      <c r="S54" s="13"/>
      <c r="T54" s="18" t="s">
        <v>115</v>
      </c>
      <c r="U54" s="13">
        <f>U53*U48</f>
        <v>0</v>
      </c>
      <c r="V54" s="13" t="str">
        <f t="shared" si="29"/>
        <v/>
      </c>
      <c r="W54" s="13" t="str">
        <f t="shared" si="30"/>
        <v/>
      </c>
      <c r="X54" s="16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62">
        <v>60000</v>
      </c>
      <c r="AZ54" s="63" t="str">
        <f t="shared" si="26"/>
        <v>ac</v>
      </c>
      <c r="BA54" s="64" t="str">
        <f t="shared" si="27"/>
        <v>(gh,g)(s/sz/ß)</v>
      </c>
      <c r="BB54" s="65" t="str">
        <f t="shared" si="28"/>
        <v>(gh,g)s</v>
      </c>
      <c r="BC54" s="110" t="str">
        <f>IF(ISERROR(MATCH(V54,'Nomina Barbara'!$C$11:$C$199,0)),"","YES")</f>
        <v/>
      </c>
      <c r="BD54" s="111" t="str">
        <f>IF(ISERROR(MATCH(W54,'Nomina Barbara'!$C$11:$C$199,0)),"","YES")</f>
        <v/>
      </c>
      <c r="BE54" s="59"/>
      <c r="BF54" s="59">
        <v>60</v>
      </c>
      <c r="BG54" s="59">
        <v>1000</v>
      </c>
      <c r="BH54" s="59"/>
      <c r="BI54" s="59"/>
      <c r="BJ54" s="59"/>
      <c r="BK54" s="59"/>
      <c r="BL54" s="59"/>
      <c r="BM54" s="133"/>
    </row>
    <row r="55" spans="2:65" ht="34" customHeight="1" thickBot="1">
      <c r="B55" s="77"/>
      <c r="C55" s="5"/>
      <c r="D55" s="6"/>
      <c r="E55" s="6"/>
      <c r="F55" s="6"/>
      <c r="G55" s="6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6"/>
      <c r="U55" s="6"/>
      <c r="V55" s="6"/>
      <c r="W55" s="6"/>
      <c r="X55" s="7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66">
        <v>70000</v>
      </c>
      <c r="AZ55" s="67" t="str">
        <f t="shared" si="26"/>
        <v>ai</v>
      </c>
      <c r="BA55" s="68" t="str">
        <f t="shared" si="27"/>
        <v>(gh,g)(a/o)</v>
      </c>
      <c r="BB55" s="69" t="str">
        <f t="shared" si="28"/>
        <v>(gh,g)a</v>
      </c>
      <c r="BC55" s="112"/>
      <c r="BD55" s="113"/>
      <c r="BE55" s="59"/>
      <c r="BF55" s="59">
        <v>70</v>
      </c>
      <c r="BG55" s="59">
        <v>1000</v>
      </c>
      <c r="BH55" s="59"/>
      <c r="BI55" s="59"/>
      <c r="BJ55" s="59"/>
      <c r="BK55" s="59"/>
      <c r="BL55" s="59"/>
      <c r="BM55" s="133"/>
    </row>
    <row r="56" spans="2:65" ht="34" customHeight="1" thickBot="1">
      <c r="B56" s="77"/>
      <c r="C56" s="59"/>
      <c r="D56" s="59"/>
      <c r="E56" s="59"/>
      <c r="F56" s="59"/>
      <c r="G56" s="59"/>
      <c r="H56" s="59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62">
        <v>80000</v>
      </c>
      <c r="AZ56" s="63" t="str">
        <f t="shared" si="26"/>
        <v>ap</v>
      </c>
      <c r="BA56" s="64" t="str">
        <f t="shared" si="27"/>
        <v>(gh,g)(p/f)</v>
      </c>
      <c r="BB56" s="65" t="str">
        <f t="shared" si="28"/>
        <v>(gh,g)p</v>
      </c>
      <c r="BC56" s="59"/>
      <c r="BD56" s="59"/>
      <c r="BE56" s="59"/>
      <c r="BF56" s="59">
        <v>80</v>
      </c>
      <c r="BG56" s="59">
        <v>1000</v>
      </c>
      <c r="BH56" s="59"/>
      <c r="BI56" s="59"/>
      <c r="BJ56" s="59"/>
      <c r="BK56" s="59"/>
      <c r="BL56" s="59"/>
      <c r="BM56" s="133"/>
    </row>
    <row r="57" spans="2:65" ht="34" customHeight="1">
      <c r="B57" s="77"/>
      <c r="C57" s="2"/>
      <c r="D57" s="34"/>
      <c r="E57" s="34"/>
      <c r="F57" s="3"/>
      <c r="G57" s="3"/>
      <c r="H57" s="3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3"/>
      <c r="U57" s="180" t="s">
        <v>135</v>
      </c>
      <c r="V57" s="180"/>
      <c r="W57" s="180"/>
      <c r="X57" s="4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66">
        <v>90000</v>
      </c>
      <c r="AZ57" s="67" t="str">
        <f t="shared" si="26"/>
        <v>aj</v>
      </c>
      <c r="BA57" s="68" t="str">
        <f t="shared" si="27"/>
        <v>(gh,g)(ts/tsch)</v>
      </c>
      <c r="BB57" s="69" t="str">
        <f t="shared" si="28"/>
        <v>(gh,g)ts</v>
      </c>
      <c r="BC57" s="181" t="s">
        <v>195</v>
      </c>
      <c r="BD57" s="182"/>
      <c r="BE57" s="59"/>
      <c r="BF57" s="59">
        <v>90</v>
      </c>
      <c r="BG57" s="59">
        <v>1000</v>
      </c>
      <c r="BH57" s="59"/>
      <c r="BI57" s="59"/>
      <c r="BJ57" s="59"/>
      <c r="BK57" s="59"/>
      <c r="BL57" s="59"/>
      <c r="BM57" s="133"/>
    </row>
    <row r="58" spans="2:65" ht="34" customHeight="1" thickBot="1">
      <c r="B58" s="77"/>
      <c r="C58" s="9"/>
      <c r="D58" s="14"/>
      <c r="E58" s="10"/>
      <c r="F58" s="11" t="s">
        <v>125</v>
      </c>
      <c r="G58" s="11" t="s">
        <v>126</v>
      </c>
      <c r="H58" s="10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4"/>
      <c r="U58" s="15" t="s">
        <v>119</v>
      </c>
      <c r="V58" s="15" t="s">
        <v>120</v>
      </c>
      <c r="W58" s="15" t="s">
        <v>121</v>
      </c>
      <c r="X58" s="16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62">
        <v>100000</v>
      </c>
      <c r="AZ58" s="63" t="str">
        <f t="shared" si="26"/>
        <v>aq</v>
      </c>
      <c r="BA58" s="64" t="str">
        <f t="shared" si="27"/>
        <v>(gh,g)(q/k)</v>
      </c>
      <c r="BB58" s="65" t="str">
        <f t="shared" si="28"/>
        <v>(gh,g)q</v>
      </c>
      <c r="BC58" s="108" t="s">
        <v>228</v>
      </c>
      <c r="BD58" s="109" t="s">
        <v>229</v>
      </c>
      <c r="BE58" s="59"/>
      <c r="BF58" s="59">
        <v>100</v>
      </c>
      <c r="BG58" s="59">
        <v>1000</v>
      </c>
      <c r="BH58" s="59"/>
      <c r="BI58" s="59"/>
      <c r="BJ58" s="59"/>
      <c r="BK58" s="59"/>
      <c r="BL58" s="59"/>
      <c r="BM58" s="133"/>
    </row>
    <row r="59" spans="2:65" ht="34" customHeight="1">
      <c r="B59" s="77"/>
      <c r="C59" s="9"/>
      <c r="D59" s="14"/>
      <c r="E59" s="10" t="s">
        <v>122</v>
      </c>
      <c r="F59" s="10">
        <v>49</v>
      </c>
      <c r="G59" s="17" t="s">
        <v>123</v>
      </c>
      <c r="H59" s="10"/>
      <c r="I59" s="23">
        <f>G62+($I$7*25)</f>
        <v>0</v>
      </c>
      <c r="J59" s="24">
        <f>G62+($I$7*29)</f>
        <v>0</v>
      </c>
      <c r="K59" s="24">
        <f>G62+($I$7*19)</f>
        <v>0</v>
      </c>
      <c r="L59" s="32">
        <f>G62+($I$7*37)</f>
        <v>0</v>
      </c>
      <c r="M59" s="32">
        <f>G62+($I$7*13)</f>
        <v>0</v>
      </c>
      <c r="N59" s="32">
        <f>G62+($I$7*45)+G64</f>
        <v>0</v>
      </c>
      <c r="O59" s="25">
        <f>G62+($I$7*0)</f>
        <v>0</v>
      </c>
      <c r="P59" s="13"/>
      <c r="Q59" s="13"/>
      <c r="R59" s="13"/>
      <c r="S59" s="13"/>
      <c r="T59" s="18" t="s">
        <v>124</v>
      </c>
      <c r="U59" s="13">
        <f>O59</f>
        <v>0</v>
      </c>
      <c r="V59" s="13" t="str">
        <f>IF(U59-31&lt;0,"",U59-31)</f>
        <v/>
      </c>
      <c r="W59" s="13" t="str">
        <f>IF(U59-41&lt;0,"",U59-41)</f>
        <v/>
      </c>
      <c r="X59" s="16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66">
        <v>200000</v>
      </c>
      <c r="AZ59" s="67" t="str">
        <f t="shared" si="26"/>
        <v>ak</v>
      </c>
      <c r="BA59" s="68" t="str">
        <f t="shared" si="27"/>
        <v>(gh,g)k</v>
      </c>
      <c r="BB59" s="69" t="str">
        <f t="shared" si="28"/>
        <v>(gh,g)k</v>
      </c>
      <c r="BC59" s="110" t="str">
        <f>IF(ISERROR(MATCH(V59,'Nomina Barbara'!$C$11:$C$199,0)),"","YES")</f>
        <v/>
      </c>
      <c r="BD59" s="111" t="str">
        <f>IF(ISERROR(MATCH(W59,'Nomina Barbara'!$C$11:$C$199,0)),"","YES")</f>
        <v/>
      </c>
      <c r="BE59" s="59"/>
      <c r="BF59" s="59">
        <v>20</v>
      </c>
      <c r="BG59" s="59">
        <v>1000</v>
      </c>
      <c r="BH59" s="59"/>
      <c r="BI59" s="59"/>
      <c r="BJ59" s="59"/>
      <c r="BK59" s="59"/>
      <c r="BL59" s="59"/>
      <c r="BM59" s="133"/>
    </row>
    <row r="60" spans="2:65" ht="34" customHeight="1">
      <c r="B60" s="77"/>
      <c r="C60" s="9"/>
      <c r="D60" s="14"/>
      <c r="E60" s="10" t="s">
        <v>2</v>
      </c>
      <c r="F60" s="10">
        <f>(F59-1)*$I$7</f>
        <v>0</v>
      </c>
      <c r="G60" s="17" t="s">
        <v>123</v>
      </c>
      <c r="H60" s="10"/>
      <c r="I60" s="26">
        <f>G62+($I$7*10)</f>
        <v>0</v>
      </c>
      <c r="J60" s="19">
        <f>G62+($I$7*42)+G64</f>
        <v>0</v>
      </c>
      <c r="K60" s="19">
        <f>G62+($I$7*4)</f>
        <v>0</v>
      </c>
      <c r="L60" s="21">
        <f>G62+($I$7*22)</f>
        <v>0</v>
      </c>
      <c r="M60" s="21">
        <f>G62+($I$7*34)</f>
        <v>0</v>
      </c>
      <c r="N60" s="21">
        <f>G62+($I$7*16)</f>
        <v>0</v>
      </c>
      <c r="O60" s="27">
        <f>G62+($I$7*41)</f>
        <v>0</v>
      </c>
      <c r="P60" s="13"/>
      <c r="Q60" s="13"/>
      <c r="R60" s="13"/>
      <c r="S60" s="13"/>
      <c r="T60" s="18" t="s">
        <v>109</v>
      </c>
      <c r="U60" s="13">
        <f>K65</f>
        <v>0</v>
      </c>
      <c r="V60" s="13" t="str">
        <f t="shared" ref="V60:V66" si="31">IF(U60-31&lt;0,"",U60-31)</f>
        <v/>
      </c>
      <c r="W60" s="13" t="str">
        <f t="shared" ref="W60:W66" si="32">IF(U60-41&lt;0,"",U60-41)</f>
        <v/>
      </c>
      <c r="X60" s="16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62">
        <v>300000</v>
      </c>
      <c r="AZ60" s="63" t="str">
        <f t="shared" si="26"/>
        <v>as</v>
      </c>
      <c r="BA60" s="64" t="str">
        <f t="shared" si="27"/>
        <v>(gh,g)sch</v>
      </c>
      <c r="BB60" s="65" t="str">
        <f t="shared" si="28"/>
        <v>(gh,g)sch</v>
      </c>
      <c r="BC60" s="110" t="str">
        <f>IF(ISERROR(MATCH(V60,'Nomina Barbara'!$C$11:$C$199,0)),"","YES")</f>
        <v/>
      </c>
      <c r="BD60" s="111" t="str">
        <f>IF(ISERROR(MATCH(W60,'Nomina Barbara'!$C$11:$C$199,0)),"","YES")</f>
        <v/>
      </c>
      <c r="BE60" s="59"/>
      <c r="BF60" s="59">
        <v>300</v>
      </c>
      <c r="BG60" s="59">
        <v>1000</v>
      </c>
      <c r="BH60" s="59"/>
      <c r="BI60" s="59"/>
      <c r="BJ60" s="59"/>
      <c r="BK60" s="59"/>
      <c r="BL60" s="59"/>
      <c r="BM60" s="133"/>
    </row>
    <row r="61" spans="2:65" ht="34" customHeight="1">
      <c r="B61" s="77"/>
      <c r="C61" s="9"/>
      <c r="D61" s="14"/>
      <c r="E61" s="10" t="s">
        <v>3</v>
      </c>
      <c r="F61" s="10">
        <f>7/2</f>
        <v>3.5</v>
      </c>
      <c r="G61" s="17" t="s">
        <v>123</v>
      </c>
      <c r="H61" s="10"/>
      <c r="I61" s="26">
        <f>G62+($I$7*30)</f>
        <v>0</v>
      </c>
      <c r="J61" s="19">
        <f>G62+($I$7*20)</f>
        <v>0</v>
      </c>
      <c r="K61" s="19">
        <f>G62+($I$7*38)</f>
        <v>0</v>
      </c>
      <c r="L61" s="21">
        <f>G62+($I$7*7)</f>
        <v>0</v>
      </c>
      <c r="M61" s="21">
        <f>G62+($I$7*46)+G64</f>
        <v>0</v>
      </c>
      <c r="N61" s="21">
        <f>G62+($I$7*1)</f>
        <v>0</v>
      </c>
      <c r="O61" s="27">
        <f>G62+($I$7*26)</f>
        <v>0</v>
      </c>
      <c r="P61" s="13"/>
      <c r="Q61" s="13"/>
      <c r="R61" s="13"/>
      <c r="S61" s="13"/>
      <c r="T61" s="18" t="s">
        <v>110</v>
      </c>
      <c r="U61" s="13">
        <f>SUM(U59:U60)</f>
        <v>0</v>
      </c>
      <c r="V61" s="13" t="str">
        <f t="shared" si="31"/>
        <v/>
      </c>
      <c r="W61" s="13" t="str">
        <f t="shared" si="32"/>
        <v/>
      </c>
      <c r="X61" s="16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66">
        <v>400000</v>
      </c>
      <c r="AZ61" s="67" t="str">
        <f t="shared" si="26"/>
        <v>at</v>
      </c>
      <c r="BA61" s="68" t="str">
        <f t="shared" si="27"/>
        <v>(gh,g)t</v>
      </c>
      <c r="BB61" s="69" t="str">
        <f t="shared" si="28"/>
        <v>(gh,g)t</v>
      </c>
      <c r="BC61" s="110" t="str">
        <f>IF(ISERROR(MATCH(V61,'Nomina Barbara'!$C$11:$C$199,0)),"","YES")</f>
        <v/>
      </c>
      <c r="BD61" s="111" t="str">
        <f>IF(ISERROR(MATCH(W61,'Nomina Barbara'!$C$11:$C$199,0)),"","YES")</f>
        <v/>
      </c>
      <c r="BE61" s="59"/>
      <c r="BF61" s="59">
        <v>400</v>
      </c>
      <c r="BG61" s="59">
        <v>1000</v>
      </c>
      <c r="BH61" s="59"/>
      <c r="BI61" s="59"/>
      <c r="BJ61" s="59"/>
      <c r="BK61" s="59"/>
      <c r="BL61" s="59"/>
      <c r="BM61" s="133"/>
    </row>
    <row r="62" spans="2:65" ht="34" customHeight="1">
      <c r="B62" s="77"/>
      <c r="C62" s="9"/>
      <c r="D62" s="14"/>
      <c r="E62" s="10" t="s">
        <v>4</v>
      </c>
      <c r="F62" s="10">
        <f>(($I$6/F61)-F60)/2</f>
        <v>0</v>
      </c>
      <c r="G62" s="10">
        <f>ROUNDDOWN((ROUNDDOWN(($I$6/F61),0)-F60)/2,0)</f>
        <v>0</v>
      </c>
      <c r="H62" s="10"/>
      <c r="I62" s="33">
        <f>G62+($I$7*43)+G64</f>
        <v>0</v>
      </c>
      <c r="J62" s="21">
        <f>G62+($I$7*5)</f>
        <v>0</v>
      </c>
      <c r="K62" s="21">
        <f>G62+($I$7*23)</f>
        <v>0</v>
      </c>
      <c r="L62" s="21">
        <f>G62+($I$7*34)</f>
        <v>0</v>
      </c>
      <c r="M62" s="21">
        <f>G62+($I$7*17)</f>
        <v>0</v>
      </c>
      <c r="N62" s="21">
        <f>G62+($I$7*35)</f>
        <v>0</v>
      </c>
      <c r="O62" s="27">
        <f>G62+($I$7*11)</f>
        <v>0</v>
      </c>
      <c r="P62" s="13"/>
      <c r="Q62" s="13"/>
      <c r="R62" s="13"/>
      <c r="S62" s="13"/>
      <c r="T62" s="18" t="s">
        <v>111</v>
      </c>
      <c r="U62" s="13">
        <f>$I$6</f>
        <v>0</v>
      </c>
      <c r="V62" s="13" t="str">
        <f t="shared" si="31"/>
        <v/>
      </c>
      <c r="W62" s="13" t="str">
        <f t="shared" si="32"/>
        <v/>
      </c>
      <c r="X62" s="16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62">
        <v>500000</v>
      </c>
      <c r="AZ62" s="63" t="str">
        <f t="shared" si="26"/>
        <v>aqt</v>
      </c>
      <c r="BA62" s="64" t="str">
        <f t="shared" si="27"/>
        <v>(gh,g)th</v>
      </c>
      <c r="BB62" s="65" t="str">
        <f t="shared" si="28"/>
        <v>(gh,g)th</v>
      </c>
      <c r="BC62" s="110" t="str">
        <f>IF(ISERROR(MATCH(V62,'Nomina Barbara'!$C$11:$C$199,0)),"","YES")</f>
        <v/>
      </c>
      <c r="BD62" s="111" t="str">
        <f>IF(ISERROR(MATCH(W62,'Nomina Barbara'!$C$11:$C$199,0)),"","YES")</f>
        <v/>
      </c>
      <c r="BE62" s="59"/>
      <c r="BF62" s="59">
        <v>500</v>
      </c>
      <c r="BG62" s="59">
        <v>1000</v>
      </c>
      <c r="BH62" s="59"/>
      <c r="BI62" s="59"/>
      <c r="BJ62" s="59"/>
      <c r="BK62" s="59"/>
      <c r="BL62" s="59"/>
      <c r="BM62" s="133"/>
    </row>
    <row r="63" spans="2:65" ht="34" customHeight="1">
      <c r="B63" s="77"/>
      <c r="C63" s="9"/>
      <c r="D63" s="14"/>
      <c r="E63" s="10" t="s">
        <v>5</v>
      </c>
      <c r="F63" s="20">
        <f>M64</f>
        <v>0</v>
      </c>
      <c r="G63" s="10">
        <f>M64</f>
        <v>0</v>
      </c>
      <c r="H63" s="13"/>
      <c r="I63" s="33">
        <f>G62+($I$7*14)</f>
        <v>0</v>
      </c>
      <c r="J63" s="21">
        <f>G62+($I$7*39)</f>
        <v>0</v>
      </c>
      <c r="K63" s="21">
        <f>G62+($I$7*8)</f>
        <v>0</v>
      </c>
      <c r="L63" s="21">
        <f>G62+($I$7*47)+G64</f>
        <v>0</v>
      </c>
      <c r="M63" s="21">
        <f>G62+($I$7*2)</f>
        <v>0</v>
      </c>
      <c r="N63" s="21">
        <f>G62+($I$7*27)</f>
        <v>0</v>
      </c>
      <c r="O63" s="27">
        <f>G62+($I$7*31)</f>
        <v>0</v>
      </c>
      <c r="P63" s="13"/>
      <c r="Q63" s="13"/>
      <c r="R63" s="13"/>
      <c r="S63" s="13"/>
      <c r="T63" s="18" t="s">
        <v>112</v>
      </c>
      <c r="U63" s="13">
        <f>SUM(I59:O65)</f>
        <v>0</v>
      </c>
      <c r="V63" s="13" t="str">
        <f t="shared" si="31"/>
        <v/>
      </c>
      <c r="W63" s="13" t="str">
        <f t="shared" si="32"/>
        <v/>
      </c>
      <c r="X63" s="16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66">
        <v>600000</v>
      </c>
      <c r="AZ63" s="67" t="str">
        <f t="shared" si="26"/>
        <v>art</v>
      </c>
      <c r="BA63" s="68" t="str">
        <f t="shared" si="27"/>
        <v>(gh,g)(kh,ch)</v>
      </c>
      <c r="BB63" s="69" t="str">
        <f t="shared" si="28"/>
        <v>(gh,g)(kh,ch)</v>
      </c>
      <c r="BC63" s="110" t="str">
        <f>IF(ISERROR(MATCH(V63,'Nomina Barbara'!$C$11:$C$199,0)),"","YES")</f>
        <v/>
      </c>
      <c r="BD63" s="111" t="str">
        <f>IF(ISERROR(MATCH(W63,'Nomina Barbara'!$C$11:$C$199,0)),"","YES")</f>
        <v/>
      </c>
      <c r="BE63" s="59"/>
      <c r="BF63" s="59">
        <v>600</v>
      </c>
      <c r="BG63" s="59">
        <v>1000</v>
      </c>
      <c r="BH63" s="59"/>
      <c r="BI63" s="59"/>
      <c r="BJ63" s="59"/>
      <c r="BK63" s="59"/>
      <c r="BL63" s="59"/>
      <c r="BM63" s="133"/>
    </row>
    <row r="64" spans="2:65" ht="34" customHeight="1">
      <c r="B64" s="77"/>
      <c r="C64" s="9"/>
      <c r="D64" s="14"/>
      <c r="E64" s="10" t="s">
        <v>0</v>
      </c>
      <c r="F64" s="17" t="s">
        <v>123</v>
      </c>
      <c r="G64" s="10">
        <f>ABS(SUM(G62+($I$7*25),G62+($I$7*29),G62+($I$7*19),G62+($I$7*37),G62+($I$7*13),G62+($I$7*45),G62)-$I$6)</f>
        <v>0</v>
      </c>
      <c r="H64" s="13"/>
      <c r="I64" s="33">
        <f>G62+($I$7*6)</f>
        <v>0</v>
      </c>
      <c r="J64" s="21">
        <f>G62+($I$7*24)</f>
        <v>0</v>
      </c>
      <c r="K64" s="21">
        <f>G62+($I$7*27)</f>
        <v>0</v>
      </c>
      <c r="L64" s="21">
        <f>G62+($I$7*18)</f>
        <v>0</v>
      </c>
      <c r="M64" s="21">
        <f>G62+($I$7*36)</f>
        <v>0</v>
      </c>
      <c r="N64" s="21">
        <f>G62+($I$7*12)</f>
        <v>0</v>
      </c>
      <c r="O64" s="27">
        <f>G62+($I$7*44)+G64</f>
        <v>0</v>
      </c>
      <c r="P64" s="13"/>
      <c r="Q64" s="13"/>
      <c r="R64" s="13"/>
      <c r="S64" s="13"/>
      <c r="T64" s="18" t="s">
        <v>113</v>
      </c>
      <c r="U64" s="13">
        <f>SUM(U62:U63)</f>
        <v>0</v>
      </c>
      <c r="V64" s="13" t="str">
        <f t="shared" si="31"/>
        <v/>
      </c>
      <c r="W64" s="13" t="str">
        <f t="shared" si="32"/>
        <v/>
      </c>
      <c r="X64" s="16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62">
        <v>700000</v>
      </c>
      <c r="AZ64" s="63" t="str">
        <f t="shared" si="26"/>
        <v>ast</v>
      </c>
      <c r="BA64" s="64" t="str">
        <f t="shared" si="27"/>
        <v>(gh,g)(dh,tz)</v>
      </c>
      <c r="BB64" s="65" t="str">
        <f t="shared" si="28"/>
        <v>(gh,g)(dh,tz)</v>
      </c>
      <c r="BC64" s="110" t="str">
        <f>IF(ISERROR(MATCH(V64,'Nomina Barbara'!$C$11:$C$199,0)),"","YES")</f>
        <v/>
      </c>
      <c r="BD64" s="111" t="str">
        <f>IF(ISERROR(MATCH(W64,'Nomina Barbara'!$C$11:$C$199,0)),"","YES")</f>
        <v/>
      </c>
      <c r="BE64" s="59"/>
      <c r="BF64" s="59">
        <v>700</v>
      </c>
      <c r="BG64" s="59">
        <v>1000</v>
      </c>
      <c r="BH64" s="59"/>
      <c r="BI64" s="59"/>
      <c r="BJ64" s="59"/>
      <c r="BK64" s="59"/>
      <c r="BL64" s="59"/>
      <c r="BM64" s="133"/>
    </row>
    <row r="65" spans="2:65" ht="34" customHeight="1" thickBot="1">
      <c r="B65" s="77"/>
      <c r="C65" s="9"/>
      <c r="D65" s="14"/>
      <c r="E65" s="10" t="s">
        <v>1</v>
      </c>
      <c r="F65" s="17" t="s">
        <v>123</v>
      </c>
      <c r="G65" s="10">
        <v>43</v>
      </c>
      <c r="H65" s="13"/>
      <c r="I65" s="28">
        <f>G62+($I$7*40)</f>
        <v>0</v>
      </c>
      <c r="J65" s="29">
        <f>G62+($I$7*9)</f>
        <v>0</v>
      </c>
      <c r="K65" s="29">
        <f>G62+($I$7*48)+G64</f>
        <v>0</v>
      </c>
      <c r="L65" s="29">
        <f>G62+($I$7*3)</f>
        <v>0</v>
      </c>
      <c r="M65" s="29">
        <f>G62+($I$7*21)</f>
        <v>0</v>
      </c>
      <c r="N65" s="29">
        <f>G62+($I$7*32)</f>
        <v>0</v>
      </c>
      <c r="O65" s="30">
        <f>G62+($I$7*15)</f>
        <v>0</v>
      </c>
      <c r="P65" s="13"/>
      <c r="Q65" s="13"/>
      <c r="R65" s="13"/>
      <c r="S65" s="13"/>
      <c r="T65" s="18" t="s">
        <v>114</v>
      </c>
      <c r="U65" s="13">
        <f>U64*2</f>
        <v>0</v>
      </c>
      <c r="V65" s="13" t="str">
        <f t="shared" si="31"/>
        <v/>
      </c>
      <c r="W65" s="13" t="str">
        <f t="shared" si="32"/>
        <v/>
      </c>
      <c r="X65" s="16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66">
        <v>800000</v>
      </c>
      <c r="AZ65" s="67" t="str">
        <f t="shared" si="26"/>
        <v>att</v>
      </c>
      <c r="BA65" s="68" t="str">
        <f t="shared" si="27"/>
        <v>(gh,g)d</v>
      </c>
      <c r="BB65" s="69" t="str">
        <f t="shared" si="28"/>
        <v>(gh,g)d</v>
      </c>
      <c r="BC65" s="110" t="str">
        <f>IF(ISERROR(MATCH(V65,'Nomina Barbara'!$C$11:$C$199,0)),"","YES")</f>
        <v/>
      </c>
      <c r="BD65" s="111" t="str">
        <f>IF(ISERROR(MATCH(W65,'Nomina Barbara'!$C$11:$C$199,0)),"","YES")</f>
        <v/>
      </c>
      <c r="BE65" s="59"/>
      <c r="BF65" s="59">
        <v>800</v>
      </c>
      <c r="BG65" s="59">
        <v>1000</v>
      </c>
      <c r="BH65" s="59"/>
      <c r="BI65" s="59"/>
      <c r="BJ65" s="59"/>
      <c r="BK65" s="59"/>
      <c r="BL65" s="59"/>
      <c r="BM65" s="133"/>
    </row>
    <row r="66" spans="2:65" ht="34" customHeight="1" thickBot="1">
      <c r="B66" s="77"/>
      <c r="C66" s="9"/>
      <c r="D66" s="14"/>
      <c r="E66" s="10"/>
      <c r="F66" s="10"/>
      <c r="G66" s="10"/>
      <c r="H66" s="13"/>
      <c r="I66" s="31"/>
      <c r="J66" s="13"/>
      <c r="K66" s="13"/>
      <c r="L66" s="13"/>
      <c r="M66" s="13"/>
      <c r="N66" s="13"/>
      <c r="O66" s="44" t="str">
        <f>IF(G64=0,"*unamended","*amended")</f>
        <v>*unamended</v>
      </c>
      <c r="P66" s="13"/>
      <c r="Q66" s="13"/>
      <c r="R66" s="13"/>
      <c r="S66" s="13"/>
      <c r="T66" s="18" t="s">
        <v>115</v>
      </c>
      <c r="U66" s="13">
        <f>U65*U60</f>
        <v>0</v>
      </c>
      <c r="V66" s="13" t="str">
        <f t="shared" si="31"/>
        <v/>
      </c>
      <c r="W66" s="13" t="str">
        <f t="shared" si="32"/>
        <v/>
      </c>
      <c r="X66" s="16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70">
        <v>900000</v>
      </c>
      <c r="AZ66" s="71" t="str">
        <f t="shared" si="26"/>
        <v>aqtt</v>
      </c>
      <c r="BA66" s="72" t="str">
        <f t="shared" si="27"/>
        <v>(gh,g)(zh,z)</v>
      </c>
      <c r="BB66" s="73" t="str">
        <f t="shared" si="28"/>
        <v>(gh,g)(zh,z)</v>
      </c>
      <c r="BC66" s="110" t="str">
        <f>IF(ISERROR(MATCH(V66,'Nomina Barbara'!$C$11:$C$199,0)),"","YES")</f>
        <v/>
      </c>
      <c r="BD66" s="111" t="str">
        <f>IF(ISERROR(MATCH(W66,'Nomina Barbara'!$C$11:$C$199,0)),"","YES")</f>
        <v/>
      </c>
      <c r="BE66" s="59"/>
      <c r="BF66" s="59">
        <v>900</v>
      </c>
      <c r="BG66" s="59">
        <v>1000</v>
      </c>
      <c r="BH66" s="59"/>
      <c r="BI66" s="59"/>
      <c r="BJ66" s="59"/>
      <c r="BK66" s="59"/>
      <c r="BL66" s="59"/>
      <c r="BM66" s="133"/>
    </row>
    <row r="67" spans="2:65" ht="34" customHeight="1" thickBot="1">
      <c r="B67" s="77"/>
      <c r="C67" s="5"/>
      <c r="D67" s="6"/>
      <c r="E67" s="6"/>
      <c r="F67" s="6"/>
      <c r="G67" s="6"/>
      <c r="H67" s="22"/>
      <c r="I67" s="22"/>
      <c r="J67" s="22"/>
      <c r="K67" s="22"/>
      <c r="L67" s="22"/>
      <c r="M67" s="22"/>
      <c r="N67" s="22"/>
      <c r="O67" s="47" t="str">
        <f>IF(O66="*unamended","","remainder= "&amp;G64)</f>
        <v/>
      </c>
      <c r="P67" s="22"/>
      <c r="Q67" s="22"/>
      <c r="R67" s="22"/>
      <c r="S67" s="22"/>
      <c r="T67" s="6"/>
      <c r="U67" s="6"/>
      <c r="V67" s="6"/>
      <c r="W67" s="6"/>
      <c r="X67" s="7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112"/>
      <c r="BD67" s="113"/>
      <c r="BE67" s="59"/>
      <c r="BF67" s="59"/>
      <c r="BG67" s="59"/>
      <c r="BH67" s="59"/>
      <c r="BI67" s="59"/>
      <c r="BJ67" s="59"/>
      <c r="BK67" s="59"/>
      <c r="BL67" s="59"/>
      <c r="BM67" s="133"/>
    </row>
    <row r="68" spans="2:65" ht="34" customHeight="1" thickBot="1">
      <c r="B68" s="77"/>
      <c r="C68" s="59"/>
      <c r="D68" s="59"/>
      <c r="E68" s="59"/>
      <c r="F68" s="59"/>
      <c r="G68" s="59"/>
      <c r="H68" s="59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133"/>
    </row>
    <row r="69" spans="2:65" ht="34" customHeight="1">
      <c r="B69" s="77"/>
      <c r="C69" s="2"/>
      <c r="D69" s="34"/>
      <c r="E69" s="34"/>
      <c r="F69" s="3"/>
      <c r="G69" s="3"/>
      <c r="H69" s="3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3"/>
      <c r="U69" s="180" t="s">
        <v>135</v>
      </c>
      <c r="V69" s="180"/>
      <c r="W69" s="180"/>
      <c r="X69" s="4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181" t="s">
        <v>195</v>
      </c>
      <c r="BD69" s="182"/>
      <c r="BE69" s="59"/>
      <c r="BF69" s="59"/>
      <c r="BG69" s="59"/>
      <c r="BH69" s="59"/>
      <c r="BI69" s="59"/>
      <c r="BJ69" s="59"/>
      <c r="BK69" s="59"/>
      <c r="BL69" s="59"/>
      <c r="BM69" s="133"/>
    </row>
    <row r="70" spans="2:65" ht="34" customHeight="1" thickBot="1">
      <c r="B70" s="77"/>
      <c r="C70" s="9"/>
      <c r="D70" s="14"/>
      <c r="E70" s="10"/>
      <c r="F70" s="11" t="s">
        <v>125</v>
      </c>
      <c r="G70" s="11" t="s">
        <v>126</v>
      </c>
      <c r="H70" s="10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4"/>
      <c r="U70" s="15" t="s">
        <v>119</v>
      </c>
      <c r="V70" s="15" t="s">
        <v>120</v>
      </c>
      <c r="W70" s="15" t="s">
        <v>121</v>
      </c>
      <c r="X70" s="16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108" t="s">
        <v>228</v>
      </c>
      <c r="BD70" s="109" t="s">
        <v>229</v>
      </c>
      <c r="BE70" s="59"/>
      <c r="BF70" s="59"/>
      <c r="BG70" s="59"/>
      <c r="BH70" s="59"/>
      <c r="BI70" s="59"/>
      <c r="BJ70" s="59"/>
      <c r="BK70" s="59"/>
      <c r="BL70" s="59"/>
      <c r="BM70" s="133"/>
    </row>
    <row r="71" spans="2:65" ht="34" customHeight="1">
      <c r="B71" s="77"/>
      <c r="C71" s="9"/>
      <c r="D71" s="14"/>
      <c r="E71" s="10" t="s">
        <v>122</v>
      </c>
      <c r="F71" s="10">
        <v>64</v>
      </c>
      <c r="G71" s="17" t="s">
        <v>123</v>
      </c>
      <c r="H71" s="10"/>
      <c r="I71" s="23">
        <f>G74+($I$7*38)</f>
        <v>0</v>
      </c>
      <c r="J71" s="24">
        <f>G74+($I$7*46)</f>
        <v>0</v>
      </c>
      <c r="K71" s="24">
        <f>G74+($I$7*21)</f>
        <v>0</v>
      </c>
      <c r="L71" s="32">
        <f>G74+($I$7*29)</f>
        <v>0</v>
      </c>
      <c r="M71" s="32">
        <f>G74+($I$7*59)+G76</f>
        <v>0</v>
      </c>
      <c r="N71" s="32">
        <f>G74+($I$7*51)</f>
        <v>0</v>
      </c>
      <c r="O71" s="32">
        <f>G74+($I$7*8)</f>
        <v>0</v>
      </c>
      <c r="P71" s="25">
        <f>G74+($I$7*0)</f>
        <v>0</v>
      </c>
      <c r="Q71" s="13"/>
      <c r="R71" s="13"/>
      <c r="S71" s="13"/>
      <c r="T71" s="18" t="s">
        <v>124</v>
      </c>
      <c r="U71" s="13">
        <f>P71</f>
        <v>0</v>
      </c>
      <c r="V71" s="13" t="str">
        <f>IF(U71-31&lt;0,"",U71-31)</f>
        <v/>
      </c>
      <c r="W71" s="13" t="str">
        <f>IF(U71-41&lt;0,"",U71-41)</f>
        <v/>
      </c>
      <c r="X71" s="16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110" t="str">
        <f>IF(ISERROR(MATCH(V71,'Nomina Barbara'!$C$11:$C$199,0)),"","YES")</f>
        <v/>
      </c>
      <c r="BD71" s="111" t="str">
        <f>IF(ISERROR(MATCH(W71,'Nomina Barbara'!$C$11:$C$199,0)),"","YES")</f>
        <v/>
      </c>
      <c r="BE71" s="59"/>
      <c r="BF71" s="59"/>
      <c r="BG71" s="59"/>
      <c r="BH71" s="59"/>
      <c r="BI71" s="59"/>
      <c r="BJ71" s="59"/>
      <c r="BK71" s="59"/>
      <c r="BL71" s="59"/>
      <c r="BM71" s="133"/>
    </row>
    <row r="72" spans="2:65" ht="34" customHeight="1">
      <c r="B72" s="77"/>
      <c r="C72" s="9"/>
      <c r="D72" s="14"/>
      <c r="E72" s="10" t="s">
        <v>2</v>
      </c>
      <c r="F72" s="10">
        <f>(F71-1)*$I$7</f>
        <v>0</v>
      </c>
      <c r="G72" s="17" t="s">
        <v>123</v>
      </c>
      <c r="H72" s="10"/>
      <c r="I72" s="26">
        <f>G74+($I$7*54)</f>
        <v>0</v>
      </c>
      <c r="J72" s="19">
        <f>G74+($I$7*62)+G76</f>
        <v>0</v>
      </c>
      <c r="K72" s="19">
        <f>G74+($I$7*5)</f>
        <v>0</v>
      </c>
      <c r="L72" s="21">
        <f>G74+($I$7*13)</f>
        <v>0</v>
      </c>
      <c r="M72" s="21">
        <f>G74+($I$7*43)</f>
        <v>0</v>
      </c>
      <c r="N72" s="21">
        <f>G74+($I$7*35)</f>
        <v>0</v>
      </c>
      <c r="O72" s="21">
        <f>G74+($I$7*24)</f>
        <v>0</v>
      </c>
      <c r="P72" s="27">
        <f>G74+($I$7*16)</f>
        <v>0</v>
      </c>
      <c r="Q72" s="13"/>
      <c r="R72" s="13"/>
      <c r="S72" s="13"/>
      <c r="T72" s="18" t="s">
        <v>109</v>
      </c>
      <c r="U72" s="13">
        <f>L75</f>
        <v>0</v>
      </c>
      <c r="V72" s="13" t="str">
        <f t="shared" ref="V72:V78" si="33">IF(U72-31&lt;0,"",U72-31)</f>
        <v/>
      </c>
      <c r="W72" s="13" t="str">
        <f t="shared" ref="W72:W78" si="34">IF(U72-41&lt;0,"",U72-41)</f>
        <v/>
      </c>
      <c r="X72" s="16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110" t="str">
        <f>IF(ISERROR(MATCH(V72,'Nomina Barbara'!$C$11:$C$199,0)),"","YES")</f>
        <v/>
      </c>
      <c r="BD72" s="111" t="str">
        <f>IF(ISERROR(MATCH(W72,'Nomina Barbara'!$C$11:$C$199,0)),"","YES")</f>
        <v/>
      </c>
      <c r="BE72" s="59"/>
      <c r="BF72" s="59"/>
      <c r="BG72" s="59"/>
      <c r="BH72" s="59"/>
      <c r="BI72" s="59"/>
      <c r="BJ72" s="59"/>
      <c r="BK72" s="59"/>
      <c r="BL72" s="59"/>
      <c r="BM72" s="133"/>
    </row>
    <row r="73" spans="2:65" ht="34" customHeight="1">
      <c r="B73" s="77"/>
      <c r="C73" s="9"/>
      <c r="D73" s="14"/>
      <c r="E73" s="10" t="s">
        <v>3</v>
      </c>
      <c r="F73" s="10">
        <f>8/2</f>
        <v>4</v>
      </c>
      <c r="G73" s="17" t="s">
        <v>123</v>
      </c>
      <c r="H73" s="10"/>
      <c r="I73" s="26">
        <f>G74+($I$7*27)</f>
        <v>0</v>
      </c>
      <c r="J73" s="19">
        <f>G74+($I$7*19)</f>
        <v>0</v>
      </c>
      <c r="K73" s="19">
        <f>G74+($I$7*40)</f>
        <v>0</v>
      </c>
      <c r="L73" s="21">
        <f>G74+($I$7*32)</f>
        <v>0</v>
      </c>
      <c r="M73" s="21">
        <f>G74+($I$7*6)</f>
        <v>0</v>
      </c>
      <c r="N73" s="21">
        <f>G74+($I$7*14)</f>
        <v>0</v>
      </c>
      <c r="O73" s="21">
        <f>G74+($I$7*53)</f>
        <v>0</v>
      </c>
      <c r="P73" s="27">
        <f>G74+($I$7*61)+G76</f>
        <v>0</v>
      </c>
      <c r="Q73" s="13"/>
      <c r="R73" s="13"/>
      <c r="S73" s="13"/>
      <c r="T73" s="18" t="s">
        <v>110</v>
      </c>
      <c r="U73" s="13">
        <f>SUM(U71:U72)</f>
        <v>0</v>
      </c>
      <c r="V73" s="13" t="str">
        <f t="shared" si="33"/>
        <v/>
      </c>
      <c r="W73" s="13" t="str">
        <f t="shared" si="34"/>
        <v/>
      </c>
      <c r="X73" s="16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110" t="str">
        <f>IF(ISERROR(MATCH(V73,'Nomina Barbara'!$C$11:$C$199,0)),"","YES")</f>
        <v/>
      </c>
      <c r="BD73" s="111" t="str">
        <f>IF(ISERROR(MATCH(W73,'Nomina Barbara'!$C$11:$C$199,0)),"","YES")</f>
        <v/>
      </c>
      <c r="BE73" s="59"/>
      <c r="BF73" s="59"/>
      <c r="BG73" s="59"/>
      <c r="BH73" s="59"/>
      <c r="BI73" s="59"/>
      <c r="BJ73" s="59"/>
      <c r="BK73" s="59"/>
      <c r="BL73" s="59"/>
      <c r="BM73" s="133"/>
    </row>
    <row r="74" spans="2:65" ht="34" customHeight="1">
      <c r="B74" s="77"/>
      <c r="C74" s="9"/>
      <c r="D74" s="14"/>
      <c r="E74" s="10" t="s">
        <v>4</v>
      </c>
      <c r="F74" s="10">
        <f>(($I$6/F73)-F72)/2</f>
        <v>0</v>
      </c>
      <c r="G74" s="10">
        <f>ROUNDDOWN((ROUNDDOWN(($I$6/F73),0)-F72)/2,0)</f>
        <v>0</v>
      </c>
      <c r="H74" s="10"/>
      <c r="I74" s="33">
        <f>G74+($I$7*11)</f>
        <v>0</v>
      </c>
      <c r="J74" s="21">
        <f>G74+($I$7*3)</f>
        <v>0</v>
      </c>
      <c r="K74" s="21">
        <f>G74+($I$7*56)+G76</f>
        <v>0</v>
      </c>
      <c r="L74" s="21">
        <f>G74+($I$7*48)</f>
        <v>0</v>
      </c>
      <c r="M74" s="21">
        <f>G74+($I$7*22)</f>
        <v>0</v>
      </c>
      <c r="N74" s="21">
        <f>G74+($I$7*30)</f>
        <v>0</v>
      </c>
      <c r="O74" s="21">
        <f>G74+($I$7*37)</f>
        <v>0</v>
      </c>
      <c r="P74" s="27">
        <f>G74+($I$7*45)</f>
        <v>0</v>
      </c>
      <c r="Q74" s="13"/>
      <c r="R74" s="13"/>
      <c r="S74" s="13"/>
      <c r="T74" s="18" t="s">
        <v>111</v>
      </c>
      <c r="U74" s="13">
        <f>$I$6</f>
        <v>0</v>
      </c>
      <c r="V74" s="13" t="str">
        <f t="shared" si="33"/>
        <v/>
      </c>
      <c r="W74" s="13" t="str">
        <f t="shared" si="34"/>
        <v/>
      </c>
      <c r="X74" s="16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110" t="str">
        <f>IF(ISERROR(MATCH(V74,'Nomina Barbara'!$C$11:$C$199,0)),"","YES")</f>
        <v/>
      </c>
      <c r="BD74" s="111" t="str">
        <f>IF(ISERROR(MATCH(W74,'Nomina Barbara'!$C$11:$C$199,0)),"","YES")</f>
        <v/>
      </c>
      <c r="BE74" s="59"/>
      <c r="BF74" s="59"/>
      <c r="BG74" s="59"/>
      <c r="BH74" s="59"/>
      <c r="BI74" s="59"/>
      <c r="BJ74" s="59"/>
      <c r="BK74" s="59"/>
      <c r="BL74" s="59"/>
      <c r="BM74" s="133"/>
    </row>
    <row r="75" spans="2:65" ht="34" customHeight="1">
      <c r="B75" s="77"/>
      <c r="C75" s="9"/>
      <c r="D75" s="14"/>
      <c r="E75" s="10" t="s">
        <v>5</v>
      </c>
      <c r="F75" s="20">
        <f>L75</f>
        <v>0</v>
      </c>
      <c r="G75" s="10">
        <f>L75</f>
        <v>0</v>
      </c>
      <c r="H75" s="13"/>
      <c r="I75" s="33">
        <f>G74+($I$7*4)</f>
        <v>0</v>
      </c>
      <c r="J75" s="21">
        <f>G74+($I$7*12)</f>
        <v>0</v>
      </c>
      <c r="K75" s="21">
        <f>G74+($I$7*55)</f>
        <v>0</v>
      </c>
      <c r="L75" s="21">
        <f>G74+($I$7*63)+G76</f>
        <v>0</v>
      </c>
      <c r="M75" s="21">
        <f>G74+($I$7*25)</f>
        <v>0</v>
      </c>
      <c r="N75" s="21">
        <f>G74+($I$7*17)</f>
        <v>0</v>
      </c>
      <c r="O75" s="21">
        <f>G74+($I$7*42)</f>
        <v>0</v>
      </c>
      <c r="P75" s="27">
        <f>G74+($I$7*34)</f>
        <v>0</v>
      </c>
      <c r="Q75" s="13"/>
      <c r="R75" s="13"/>
      <c r="S75" s="13"/>
      <c r="T75" s="18" t="s">
        <v>112</v>
      </c>
      <c r="U75" s="13">
        <f>SUM(I71:P78)</f>
        <v>0</v>
      </c>
      <c r="V75" s="13" t="str">
        <f t="shared" si="33"/>
        <v/>
      </c>
      <c r="W75" s="13" t="str">
        <f t="shared" si="34"/>
        <v/>
      </c>
      <c r="X75" s="16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110" t="str">
        <f>IF(ISERROR(MATCH(V75,'Nomina Barbara'!$C$11:$C$199,0)),"","YES")</f>
        <v/>
      </c>
      <c r="BD75" s="111" t="str">
        <f>IF(ISERROR(MATCH(W75,'Nomina Barbara'!$C$11:$C$199,0)),"","YES")</f>
        <v/>
      </c>
      <c r="BE75" s="59"/>
      <c r="BF75" s="59"/>
      <c r="BG75" s="59"/>
      <c r="BH75" s="59"/>
      <c r="BI75" s="59"/>
      <c r="BJ75" s="59"/>
      <c r="BK75" s="59"/>
      <c r="BL75" s="59"/>
      <c r="BM75" s="133"/>
    </row>
    <row r="76" spans="2:65" ht="34" customHeight="1">
      <c r="B76" s="77"/>
      <c r="C76" s="9"/>
      <c r="D76" s="14"/>
      <c r="E76" s="10" t="s">
        <v>0</v>
      </c>
      <c r="F76" s="17" t="s">
        <v>123</v>
      </c>
      <c r="G76" s="10">
        <f>ABS(SUM(G74+($I$7*38),G74+($I$7*46),G74+($I$7*21),G74+($I$7*29),G74+($I$7*59),G74+($I$7*51),G74+($I$7*8),G74)-$I$6)</f>
        <v>0</v>
      </c>
      <c r="H76" s="13"/>
      <c r="I76" s="33">
        <f>G74+($I$7*20)</f>
        <v>0</v>
      </c>
      <c r="J76" s="21">
        <f>G74+($I$7*28)</f>
        <v>0</v>
      </c>
      <c r="K76" s="21">
        <f>G74+($I$7*39)</f>
        <v>0</v>
      </c>
      <c r="L76" s="21">
        <f>G74+($I$7*47)</f>
        <v>0</v>
      </c>
      <c r="M76" s="21">
        <f>G74+($I$7*9)</f>
        <v>0</v>
      </c>
      <c r="N76" s="21">
        <f>G74+($I$7*1)</f>
        <v>0</v>
      </c>
      <c r="O76" s="21">
        <f>G74+($I$7*58)+G76</f>
        <v>0</v>
      </c>
      <c r="P76" s="27">
        <f>G74+($I$7*50)</f>
        <v>0</v>
      </c>
      <c r="Q76" s="13"/>
      <c r="R76" s="13"/>
      <c r="S76" s="13"/>
      <c r="T76" s="18" t="s">
        <v>113</v>
      </c>
      <c r="U76" s="13">
        <f>SUM(U74:U75)</f>
        <v>0</v>
      </c>
      <c r="V76" s="13" t="str">
        <f t="shared" si="33"/>
        <v/>
      </c>
      <c r="W76" s="13" t="str">
        <f t="shared" si="34"/>
        <v/>
      </c>
      <c r="X76" s="16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110" t="str">
        <f>IF(ISERROR(MATCH(V76,'Nomina Barbara'!$C$11:$C$199,0)),"","YES")</f>
        <v/>
      </c>
      <c r="BD76" s="111" t="str">
        <f>IF(ISERROR(MATCH(W76,'Nomina Barbara'!$C$11:$C$199,0)),"","YES")</f>
        <v/>
      </c>
      <c r="BE76" s="59"/>
      <c r="BF76" s="59"/>
      <c r="BG76" s="59"/>
      <c r="BH76" s="59"/>
      <c r="BI76" s="59"/>
      <c r="BJ76" s="59"/>
      <c r="BK76" s="59"/>
      <c r="BL76" s="59"/>
      <c r="BM76" s="133"/>
    </row>
    <row r="77" spans="2:65" ht="34" customHeight="1">
      <c r="B77" s="77"/>
      <c r="C77" s="9"/>
      <c r="D77" s="14"/>
      <c r="E77" s="10" t="s">
        <v>1</v>
      </c>
      <c r="F77" s="17" t="s">
        <v>123</v>
      </c>
      <c r="G77" s="10">
        <v>57</v>
      </c>
      <c r="H77" s="13"/>
      <c r="I77" s="33">
        <f>G74+($I$7*57)+G76</f>
        <v>0</v>
      </c>
      <c r="J77" s="21">
        <f>G74+($I$7*49)</f>
        <v>0</v>
      </c>
      <c r="K77" s="21">
        <f>G74+($I$7*10)</f>
        <v>0</v>
      </c>
      <c r="L77" s="21">
        <f>G74+($I$7*2)</f>
        <v>0</v>
      </c>
      <c r="M77" s="21">
        <f>G74+($I$7*36)</f>
        <v>0</v>
      </c>
      <c r="N77" s="21">
        <f>G74+($I$7*44)</f>
        <v>0</v>
      </c>
      <c r="O77" s="21">
        <f>G74+($I$7*23)</f>
        <v>0</v>
      </c>
      <c r="P77" s="27">
        <f>G74+($I$7*31)</f>
        <v>0</v>
      </c>
      <c r="Q77" s="13"/>
      <c r="R77" s="13"/>
      <c r="S77" s="13"/>
      <c r="T77" s="18" t="s">
        <v>114</v>
      </c>
      <c r="U77" s="13">
        <f>U76*2</f>
        <v>0</v>
      </c>
      <c r="V77" s="13" t="str">
        <f t="shared" si="33"/>
        <v/>
      </c>
      <c r="W77" s="13" t="str">
        <f t="shared" si="34"/>
        <v/>
      </c>
      <c r="X77" s="16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110" t="str">
        <f>IF(ISERROR(MATCH(V77,'Nomina Barbara'!$C$11:$C$199,0)),"","YES")</f>
        <v/>
      </c>
      <c r="BD77" s="111" t="str">
        <f>IF(ISERROR(MATCH(W77,'Nomina Barbara'!$C$11:$C$199,0)),"","YES")</f>
        <v/>
      </c>
      <c r="BE77" s="59"/>
      <c r="BF77" s="59"/>
      <c r="BG77" s="59"/>
      <c r="BH77" s="59"/>
      <c r="BI77" s="59"/>
      <c r="BJ77" s="59"/>
      <c r="BK77" s="59"/>
      <c r="BL77" s="59"/>
      <c r="BM77" s="133"/>
    </row>
    <row r="78" spans="2:65" ht="34" customHeight="1" thickBot="1">
      <c r="B78" s="77"/>
      <c r="C78" s="9"/>
      <c r="D78" s="14"/>
      <c r="E78" s="10"/>
      <c r="F78" s="10"/>
      <c r="G78" s="10"/>
      <c r="H78" s="13"/>
      <c r="I78" s="28">
        <f>G74+($I$7*41)</f>
        <v>0</v>
      </c>
      <c r="J78" s="29">
        <f>G74+($I$7*33)</f>
        <v>0</v>
      </c>
      <c r="K78" s="29">
        <f>G74+($I$7*26)</f>
        <v>0</v>
      </c>
      <c r="L78" s="29">
        <f>G74+($I$7*18)</f>
        <v>0</v>
      </c>
      <c r="M78" s="29">
        <f>G74+($I$7*52)</f>
        <v>0</v>
      </c>
      <c r="N78" s="29">
        <f>G74+($I$7*60)+G76</f>
        <v>0</v>
      </c>
      <c r="O78" s="29">
        <f>G74+($I$7*7)</f>
        <v>0</v>
      </c>
      <c r="P78" s="30">
        <f>G74+($I$7*15)</f>
        <v>0</v>
      </c>
      <c r="Q78" s="13"/>
      <c r="R78" s="13"/>
      <c r="S78" s="13"/>
      <c r="T78" s="18" t="s">
        <v>115</v>
      </c>
      <c r="U78" s="13">
        <f>U77*U72</f>
        <v>0</v>
      </c>
      <c r="V78" s="13" t="str">
        <f t="shared" si="33"/>
        <v/>
      </c>
      <c r="W78" s="13" t="str">
        <f t="shared" si="34"/>
        <v/>
      </c>
      <c r="X78" s="16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110" t="str">
        <f>IF(ISERROR(MATCH(V78,'Nomina Barbara'!$C$11:$C$199,0)),"","YES")</f>
        <v/>
      </c>
      <c r="BD78" s="111" t="str">
        <f>IF(ISERROR(MATCH(W78,'Nomina Barbara'!$C$11:$C$199,0)),"","YES")</f>
        <v/>
      </c>
      <c r="BE78" s="59"/>
      <c r="BF78" s="59"/>
      <c r="BG78" s="59"/>
      <c r="BH78" s="59"/>
      <c r="BI78" s="59"/>
      <c r="BJ78" s="59"/>
      <c r="BK78" s="59"/>
      <c r="BL78" s="59"/>
      <c r="BM78" s="133"/>
    </row>
    <row r="79" spans="2:65" ht="34" customHeight="1">
      <c r="B79" s="77"/>
      <c r="C79" s="9"/>
      <c r="D79" s="14"/>
      <c r="E79" s="14"/>
      <c r="F79" s="14"/>
      <c r="G79" s="14"/>
      <c r="H79" s="13"/>
      <c r="I79" s="31"/>
      <c r="J79" s="13"/>
      <c r="K79" s="13"/>
      <c r="L79" s="13"/>
      <c r="M79" s="13"/>
      <c r="N79" s="13"/>
      <c r="O79" s="13"/>
      <c r="P79" s="44" t="str">
        <f>IF(G76=0,"*unamended","*amended")</f>
        <v>*unamended</v>
      </c>
      <c r="Q79" s="13"/>
      <c r="R79" s="13"/>
      <c r="S79" s="13"/>
      <c r="T79" s="14"/>
      <c r="U79" s="14"/>
      <c r="V79" s="14"/>
      <c r="W79" s="14"/>
      <c r="X79" s="16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110"/>
      <c r="BD79" s="111"/>
      <c r="BE79" s="59"/>
      <c r="BF79" s="59"/>
      <c r="BG79" s="59"/>
      <c r="BH79" s="59"/>
      <c r="BI79" s="59"/>
      <c r="BJ79" s="59"/>
      <c r="BK79" s="59"/>
      <c r="BL79" s="59"/>
      <c r="BM79" s="133"/>
    </row>
    <row r="80" spans="2:65" ht="34" customHeight="1" thickBot="1">
      <c r="B80" s="77"/>
      <c r="C80" s="5"/>
      <c r="D80" s="6"/>
      <c r="E80" s="6"/>
      <c r="F80" s="6"/>
      <c r="G80" s="6"/>
      <c r="H80" s="22"/>
      <c r="I80" s="22"/>
      <c r="J80" s="22"/>
      <c r="K80" s="22"/>
      <c r="L80" s="22"/>
      <c r="M80" s="22"/>
      <c r="N80" s="22"/>
      <c r="O80" s="22"/>
      <c r="P80" s="47" t="str">
        <f>IF(P79="*unamended","","remainder= "&amp;G76)</f>
        <v/>
      </c>
      <c r="Q80" s="22"/>
      <c r="R80" s="22"/>
      <c r="S80" s="22"/>
      <c r="T80" s="6"/>
      <c r="U80" s="6"/>
      <c r="V80" s="6"/>
      <c r="W80" s="6"/>
      <c r="X80" s="7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112"/>
      <c r="BD80" s="113"/>
      <c r="BE80" s="59"/>
      <c r="BF80" s="59"/>
      <c r="BG80" s="59"/>
      <c r="BH80" s="59"/>
      <c r="BI80" s="59"/>
      <c r="BJ80" s="59"/>
      <c r="BK80" s="59"/>
      <c r="BL80" s="59"/>
      <c r="BM80" s="133"/>
    </row>
    <row r="81" spans="2:65" ht="34" customHeight="1" thickBot="1">
      <c r="B81" s="77"/>
      <c r="C81" s="59"/>
      <c r="D81" s="59"/>
      <c r="E81" s="59"/>
      <c r="F81" s="59"/>
      <c r="G81" s="59"/>
      <c r="H81" s="59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133"/>
    </row>
    <row r="82" spans="2:65" ht="34" customHeight="1">
      <c r="B82" s="77"/>
      <c r="C82" s="2"/>
      <c r="D82" s="34"/>
      <c r="E82" s="34"/>
      <c r="F82" s="3"/>
      <c r="G82" s="3"/>
      <c r="H82" s="3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3"/>
      <c r="U82" s="180" t="s">
        <v>135</v>
      </c>
      <c r="V82" s="180"/>
      <c r="W82" s="180"/>
      <c r="X82" s="4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181" t="s">
        <v>195</v>
      </c>
      <c r="BD82" s="182"/>
      <c r="BE82" s="59"/>
      <c r="BF82" s="59"/>
      <c r="BG82" s="59"/>
      <c r="BH82" s="59"/>
      <c r="BI82" s="59"/>
      <c r="BJ82" s="59"/>
      <c r="BK82" s="59"/>
      <c r="BL82" s="59"/>
      <c r="BM82" s="133"/>
    </row>
    <row r="83" spans="2:65" ht="34" customHeight="1" thickBot="1">
      <c r="B83" s="77"/>
      <c r="C83" s="9"/>
      <c r="D83" s="14"/>
      <c r="E83" s="10"/>
      <c r="F83" s="11" t="s">
        <v>125</v>
      </c>
      <c r="G83" s="11" t="s">
        <v>126</v>
      </c>
      <c r="H83" s="10"/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4"/>
      <c r="U83" s="15" t="s">
        <v>119</v>
      </c>
      <c r="V83" s="15" t="s">
        <v>120</v>
      </c>
      <c r="W83" s="15" t="s">
        <v>121</v>
      </c>
      <c r="X83" s="16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108" t="s">
        <v>228</v>
      </c>
      <c r="BD83" s="109" t="s">
        <v>229</v>
      </c>
      <c r="BE83" s="59"/>
      <c r="BF83" s="59"/>
      <c r="BG83" s="59"/>
      <c r="BH83" s="59"/>
      <c r="BI83" s="59"/>
      <c r="BJ83" s="59"/>
      <c r="BK83" s="59"/>
      <c r="BL83" s="59"/>
      <c r="BM83" s="133"/>
    </row>
    <row r="84" spans="2:65" ht="34" customHeight="1">
      <c r="B84" s="77"/>
      <c r="C84" s="9"/>
      <c r="D84" s="14"/>
      <c r="E84" s="10" t="s">
        <v>122</v>
      </c>
      <c r="F84" s="10">
        <v>81</v>
      </c>
      <c r="G84" s="17" t="s">
        <v>123</v>
      </c>
      <c r="H84" s="10"/>
      <c r="I84" s="23">
        <f>G87+($I$7*9)</f>
        <v>0</v>
      </c>
      <c r="J84" s="24">
        <f>G87+($I$7*77)+G89</f>
        <v>0</v>
      </c>
      <c r="K84" s="24">
        <f>G87+($I$7*34)</f>
        <v>0</v>
      </c>
      <c r="L84" s="32">
        <f>G87+($I$7*25)</f>
        <v>0</v>
      </c>
      <c r="M84" s="32">
        <f>G87+($I$7*54)</f>
        <v>0</v>
      </c>
      <c r="N84" s="32">
        <f>G87+($I$7*41)</f>
        <v>0</v>
      </c>
      <c r="O84" s="32">
        <f>G87+($I$7*5)</f>
        <v>0</v>
      </c>
      <c r="P84" s="32">
        <f>G87+($I$7*70)</f>
        <v>0</v>
      </c>
      <c r="Q84" s="25">
        <f>G87+($I$7*45)</f>
        <v>0</v>
      </c>
      <c r="R84" s="13"/>
      <c r="S84" s="13"/>
      <c r="T84" s="18" t="s">
        <v>124</v>
      </c>
      <c r="U84" s="13">
        <f>M90</f>
        <v>0</v>
      </c>
      <c r="V84" s="13" t="str">
        <f>IF(U84-31&lt;0,"",U84-31)</f>
        <v/>
      </c>
      <c r="W84" s="13" t="str">
        <f>IF(U84-41&lt;0,"",U84-41)</f>
        <v/>
      </c>
      <c r="X84" s="16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110" t="str">
        <f>IF(ISERROR(MATCH(V84,'Nomina Barbara'!$C$11:$C$199,0)),"","YES")</f>
        <v/>
      </c>
      <c r="BD84" s="111" t="str">
        <f>IF(ISERROR(MATCH(W84,'Nomina Barbara'!$C$11:$C$199,0)),"","YES")</f>
        <v/>
      </c>
      <c r="BE84" s="59"/>
      <c r="BF84" s="59"/>
      <c r="BG84" s="59"/>
      <c r="BH84" s="59"/>
      <c r="BI84" s="59"/>
      <c r="BJ84" s="59"/>
      <c r="BK84" s="59"/>
      <c r="BL84" s="59"/>
      <c r="BM84" s="133"/>
    </row>
    <row r="85" spans="2:65" ht="34" customHeight="1">
      <c r="B85" s="77"/>
      <c r="C85" s="9"/>
      <c r="D85" s="14"/>
      <c r="E85" s="10" t="s">
        <v>2</v>
      </c>
      <c r="F85" s="10">
        <f>(F84-1)*$I$7</f>
        <v>0</v>
      </c>
      <c r="G85" s="17" t="s">
        <v>123</v>
      </c>
      <c r="H85" s="10"/>
      <c r="I85" s="26">
        <f>G87+($I$7*49)</f>
        <v>0</v>
      </c>
      <c r="J85" s="19">
        <f>G87+($I$7*6)</f>
        <v>0</v>
      </c>
      <c r="K85" s="19">
        <f>G87+($I$7*65)</f>
        <v>0</v>
      </c>
      <c r="L85" s="21">
        <f>G87+($I$7*29)</f>
        <v>0</v>
      </c>
      <c r="M85" s="21">
        <f>G87+($I$7*13)</f>
        <v>0</v>
      </c>
      <c r="N85" s="21">
        <f>G87+($I$7*78)+G89</f>
        <v>0</v>
      </c>
      <c r="O85" s="21">
        <f>G87+($I$7*42)</f>
        <v>0</v>
      </c>
      <c r="P85" s="21">
        <f>G87+($I$7*20)</f>
        <v>0</v>
      </c>
      <c r="Q85" s="27">
        <f>G87+($I$7*58)</f>
        <v>0</v>
      </c>
      <c r="R85" s="13"/>
      <c r="S85" s="13"/>
      <c r="T85" s="18" t="s">
        <v>109</v>
      </c>
      <c r="U85" s="13">
        <f>M92</f>
        <v>0</v>
      </c>
      <c r="V85" s="13" t="str">
        <f t="shared" ref="V85:V91" si="35">IF(U85-31&lt;0,"",U85-31)</f>
        <v/>
      </c>
      <c r="W85" s="13" t="str">
        <f t="shared" ref="W85:W91" si="36">IF(U85-41&lt;0,"",U85-41)</f>
        <v/>
      </c>
      <c r="X85" s="16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110" t="str">
        <f>IF(ISERROR(MATCH(V85,'Nomina Barbara'!$C$11:$C$199,0)),"","YES")</f>
        <v/>
      </c>
      <c r="BD85" s="111" t="str">
        <f>IF(ISERROR(MATCH(W85,'Nomina Barbara'!$C$11:$C$199,0)),"","YES")</f>
        <v/>
      </c>
      <c r="BE85" s="59"/>
      <c r="BF85" s="59"/>
      <c r="BG85" s="59"/>
      <c r="BH85" s="59"/>
      <c r="BI85" s="59"/>
      <c r="BJ85" s="59"/>
      <c r="BK85" s="59"/>
      <c r="BL85" s="59"/>
      <c r="BM85" s="133"/>
    </row>
    <row r="86" spans="2:65" ht="34" customHeight="1">
      <c r="B86" s="77"/>
      <c r="C86" s="9"/>
      <c r="D86" s="14"/>
      <c r="E86" s="10" t="s">
        <v>3</v>
      </c>
      <c r="F86" s="10">
        <f>9/2</f>
        <v>4.5</v>
      </c>
      <c r="G86" s="17" t="s">
        <v>123</v>
      </c>
      <c r="H86" s="10"/>
      <c r="I86" s="26">
        <f>G87+($I$7*62)</f>
        <v>0</v>
      </c>
      <c r="J86" s="19">
        <f>G87+($I$7*37)</f>
        <v>0</v>
      </c>
      <c r="K86" s="19">
        <f>G87+($I$7*21)</f>
        <v>0</v>
      </c>
      <c r="L86" s="21">
        <f>G87+($I$7*66)</f>
        <v>0</v>
      </c>
      <c r="M86" s="21">
        <f>G87+($I$7*53)</f>
        <v>0</v>
      </c>
      <c r="N86" s="21">
        <f>G87+($I$7*1)</f>
        <v>0</v>
      </c>
      <c r="O86" s="21">
        <f>G87+($I$7*73)+G89</f>
        <v>0</v>
      </c>
      <c r="P86" s="21">
        <f>G87+($I$7*30)</f>
        <v>0</v>
      </c>
      <c r="Q86" s="27">
        <f>G87+($I$7*17)</f>
        <v>0</v>
      </c>
      <c r="R86" s="13"/>
      <c r="S86" s="13"/>
      <c r="T86" s="18" t="s">
        <v>110</v>
      </c>
      <c r="U86" s="13">
        <f>SUM(U84:U85)</f>
        <v>0</v>
      </c>
      <c r="V86" s="13" t="str">
        <f t="shared" si="35"/>
        <v/>
      </c>
      <c r="W86" s="13" t="str">
        <f t="shared" si="36"/>
        <v/>
      </c>
      <c r="X86" s="16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110" t="str">
        <f>IF(ISERROR(MATCH(V86,'Nomina Barbara'!$C$11:$C$199,0)),"","YES")</f>
        <v/>
      </c>
      <c r="BD86" s="111" t="str">
        <f>IF(ISERROR(MATCH(W86,'Nomina Barbara'!$C$11:$C$199,0)),"","YES")</f>
        <v/>
      </c>
      <c r="BE86" s="59"/>
      <c r="BF86" s="59"/>
      <c r="BG86" s="59"/>
      <c r="BH86" s="59"/>
      <c r="BI86" s="59"/>
      <c r="BJ86" s="59"/>
      <c r="BK86" s="59"/>
      <c r="BL86" s="59"/>
      <c r="BM86" s="133"/>
    </row>
    <row r="87" spans="2:65" ht="34" customHeight="1">
      <c r="B87" s="77"/>
      <c r="C87" s="9"/>
      <c r="D87" s="14"/>
      <c r="E87" s="10" t="s">
        <v>4</v>
      </c>
      <c r="F87" s="10">
        <f>(($I$6/F86)-F85)/2</f>
        <v>0</v>
      </c>
      <c r="G87" s="10">
        <f>ROUNDDOWN((ROUNDDOWN(($I$6/F86),0)-F85)/2,0)</f>
        <v>0</v>
      </c>
      <c r="H87" s="10"/>
      <c r="I87" s="33">
        <f>G87+($I$7*63)</f>
        <v>0</v>
      </c>
      <c r="J87" s="21">
        <f>G87+($I$7*50)</f>
        <v>0</v>
      </c>
      <c r="K87" s="21">
        <f>G87+($I$7*7)</f>
        <v>0</v>
      </c>
      <c r="L87" s="21">
        <f>G87+($I$7*79)+G89</f>
        <v>0</v>
      </c>
      <c r="M87" s="21">
        <f>G87+($I$7*27)</f>
        <v>0</v>
      </c>
      <c r="N87" s="21">
        <f>G87+($I$7*14)</f>
        <v>0</v>
      </c>
      <c r="O87" s="21">
        <f>G87+($I$7*59)</f>
        <v>0</v>
      </c>
      <c r="P87" s="21">
        <f>G87+($I$7*43)</f>
        <v>0</v>
      </c>
      <c r="Q87" s="27">
        <f>G87+($I$7*18)</f>
        <v>0</v>
      </c>
      <c r="R87" s="13"/>
      <c r="S87" s="13"/>
      <c r="T87" s="18" t="s">
        <v>111</v>
      </c>
      <c r="U87" s="13">
        <f>$I$6</f>
        <v>0</v>
      </c>
      <c r="V87" s="13" t="str">
        <f t="shared" si="35"/>
        <v/>
      </c>
      <c r="W87" s="13" t="str">
        <f t="shared" si="36"/>
        <v/>
      </c>
      <c r="X87" s="16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110" t="str">
        <f>IF(ISERROR(MATCH(V87,'Nomina Barbara'!$C$11:$C$199,0)),"","YES")</f>
        <v/>
      </c>
      <c r="BD87" s="111" t="str">
        <f>IF(ISERROR(MATCH(W87,'Nomina Barbara'!$C$11:$C$199,0)),"","YES")</f>
        <v/>
      </c>
      <c r="BE87" s="59"/>
      <c r="BF87" s="59"/>
      <c r="BG87" s="59"/>
      <c r="BH87" s="59"/>
      <c r="BI87" s="59"/>
      <c r="BJ87" s="59"/>
      <c r="BK87" s="59"/>
      <c r="BL87" s="59"/>
      <c r="BM87" s="133"/>
    </row>
    <row r="88" spans="2:65" ht="34" customHeight="1">
      <c r="B88" s="77"/>
      <c r="C88" s="9"/>
      <c r="D88" s="14"/>
      <c r="E88" s="10" t="s">
        <v>5</v>
      </c>
      <c r="F88" s="20">
        <f>M92</f>
        <v>0</v>
      </c>
      <c r="G88" s="10">
        <f>M92</f>
        <v>0</v>
      </c>
      <c r="H88" s="13"/>
      <c r="I88" s="33">
        <f>G87+($I$7*22)</f>
        <v>0</v>
      </c>
      <c r="J88" s="21">
        <f>G87+($I$7*60)</f>
        <v>0</v>
      </c>
      <c r="K88" s="21">
        <f>G87+($I$7*38)</f>
        <v>0</v>
      </c>
      <c r="L88" s="21">
        <f>G87+($I$7*2)</f>
        <v>0</v>
      </c>
      <c r="M88" s="21">
        <f>G87+($I$7*67)</f>
        <v>0</v>
      </c>
      <c r="N88" s="21">
        <f>G87+($I$7*51)</f>
        <v>0</v>
      </c>
      <c r="O88" s="21">
        <f>G87+($I$7*15)</f>
        <v>0</v>
      </c>
      <c r="P88" s="21">
        <f>G87+($I$7*74)+G89</f>
        <v>0</v>
      </c>
      <c r="Q88" s="27">
        <f>G87+($I$7*31)</f>
        <v>0</v>
      </c>
      <c r="R88" s="13"/>
      <c r="S88" s="13"/>
      <c r="T88" s="18" t="s">
        <v>112</v>
      </c>
      <c r="U88" s="13">
        <f>SUM(I84:Q92)</f>
        <v>0</v>
      </c>
      <c r="V88" s="13" t="str">
        <f t="shared" si="35"/>
        <v/>
      </c>
      <c r="W88" s="13" t="str">
        <f t="shared" si="36"/>
        <v/>
      </c>
      <c r="X88" s="16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110" t="str">
        <f>IF(ISERROR(MATCH(V88,'Nomina Barbara'!$C$11:$C$199,0)),"","YES")</f>
        <v/>
      </c>
      <c r="BD88" s="111" t="str">
        <f>IF(ISERROR(MATCH(W88,'Nomina Barbara'!$C$11:$C$199,0)),"","YES")</f>
        <v/>
      </c>
      <c r="BE88" s="59"/>
      <c r="BF88" s="59"/>
      <c r="BG88" s="59"/>
      <c r="BH88" s="59"/>
      <c r="BI88" s="59"/>
      <c r="BJ88" s="59"/>
      <c r="BK88" s="59"/>
      <c r="BL88" s="59"/>
      <c r="BM88" s="133"/>
    </row>
    <row r="89" spans="2:65" ht="34" customHeight="1">
      <c r="B89" s="77"/>
      <c r="C89" s="9"/>
      <c r="D89" s="14"/>
      <c r="E89" s="10" t="s">
        <v>0</v>
      </c>
      <c r="F89" s="17" t="s">
        <v>123</v>
      </c>
      <c r="G89" s="10">
        <f>ABS(SUM(G87+($I$7*9),G87+($I$7*77),G87+($I$7*34),G87+($I$7*25),G87+($I$7*54),G87+($I$7*41),G87+($I$7*5),G87+($I$7*70),G87+($I$7*45))-$I$6)</f>
        <v>0</v>
      </c>
      <c r="H89" s="13"/>
      <c r="I89" s="33">
        <f>G87+($I$7*35)</f>
        <v>0</v>
      </c>
      <c r="J89" s="21">
        <f>G87+($I$7*10)</f>
        <v>0</v>
      </c>
      <c r="K89" s="21">
        <f>G87+($I$7*75)+G89</f>
        <v>0</v>
      </c>
      <c r="L89" s="21">
        <f>G87+($I$7*39)</f>
        <v>0</v>
      </c>
      <c r="M89" s="21">
        <f>G87+($I$7*26)</f>
        <v>0</v>
      </c>
      <c r="N89" s="21">
        <f>G87+($I$7*55)</f>
        <v>0</v>
      </c>
      <c r="O89" s="21">
        <f>G87+($I$7*46)</f>
        <v>0</v>
      </c>
      <c r="P89" s="21">
        <f>G87+($I$7*3)</f>
        <v>0</v>
      </c>
      <c r="Q89" s="27">
        <f>G87+($I$7*71)</f>
        <v>0</v>
      </c>
      <c r="R89" s="13"/>
      <c r="S89" s="13"/>
      <c r="T89" s="18" t="s">
        <v>113</v>
      </c>
      <c r="U89" s="13">
        <f>SUM(U87:U88)</f>
        <v>0</v>
      </c>
      <c r="V89" s="13" t="str">
        <f t="shared" si="35"/>
        <v/>
      </c>
      <c r="W89" s="13" t="str">
        <f t="shared" si="36"/>
        <v/>
      </c>
      <c r="X89" s="16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110" t="str">
        <f>IF(ISERROR(MATCH(V89,'Nomina Barbara'!$C$11:$C$199,0)),"","YES")</f>
        <v/>
      </c>
      <c r="BD89" s="111" t="str">
        <f>IF(ISERROR(MATCH(W89,'Nomina Barbara'!$C$11:$C$199,0)),"","YES")</f>
        <v/>
      </c>
      <c r="BE89" s="59"/>
      <c r="BF89" s="59"/>
      <c r="BG89" s="59"/>
      <c r="BH89" s="59"/>
      <c r="BI89" s="59"/>
      <c r="BJ89" s="59"/>
      <c r="BK89" s="59"/>
      <c r="BL89" s="59"/>
      <c r="BM89" s="133"/>
    </row>
    <row r="90" spans="2:65" ht="34" customHeight="1">
      <c r="B90" s="77"/>
      <c r="C90" s="9"/>
      <c r="D90" s="14"/>
      <c r="E90" s="10" t="s">
        <v>1</v>
      </c>
      <c r="F90" s="17" t="s">
        <v>123</v>
      </c>
      <c r="G90" s="10">
        <v>73</v>
      </c>
      <c r="H90" s="13"/>
      <c r="I90" s="33">
        <f>G87+($I$7*36)</f>
        <v>0</v>
      </c>
      <c r="J90" s="21">
        <f>G87+($I$7*23)</f>
        <v>0</v>
      </c>
      <c r="K90" s="21">
        <f>G87+($I$7*61)</f>
        <v>0</v>
      </c>
      <c r="L90" s="21">
        <f>G87+($I$7*52)</f>
        <v>0</v>
      </c>
      <c r="M90" s="21">
        <f>G87+($I$7*0)</f>
        <v>0</v>
      </c>
      <c r="N90" s="21">
        <f>G87+($I$7*68)</f>
        <v>0</v>
      </c>
      <c r="O90" s="21">
        <f>G87+($I$7*32)</f>
        <v>0</v>
      </c>
      <c r="P90" s="21">
        <f>G87+($I$7*16)</f>
        <v>0</v>
      </c>
      <c r="Q90" s="27">
        <f>G87+($I$7*72)+G89</f>
        <v>0</v>
      </c>
      <c r="R90" s="13"/>
      <c r="S90" s="13"/>
      <c r="T90" s="18" t="s">
        <v>114</v>
      </c>
      <c r="U90" s="13">
        <f>U89*2</f>
        <v>0</v>
      </c>
      <c r="V90" s="13" t="str">
        <f t="shared" si="35"/>
        <v/>
      </c>
      <c r="W90" s="13" t="str">
        <f t="shared" si="36"/>
        <v/>
      </c>
      <c r="X90" s="16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110" t="str">
        <f>IF(ISERROR(MATCH(V90,'Nomina Barbara'!$C$11:$C$199,0)),"","YES")</f>
        <v/>
      </c>
      <c r="BD90" s="111" t="str">
        <f>IF(ISERROR(MATCH(W90,'Nomina Barbara'!$C$11:$C$199,0)),"","YES")</f>
        <v/>
      </c>
      <c r="BE90" s="59"/>
      <c r="BF90" s="59"/>
      <c r="BG90" s="59"/>
      <c r="BH90" s="59"/>
      <c r="BI90" s="59"/>
      <c r="BJ90" s="59"/>
      <c r="BK90" s="59"/>
      <c r="BL90" s="59"/>
      <c r="BM90" s="133"/>
    </row>
    <row r="91" spans="2:65" ht="34" customHeight="1">
      <c r="B91" s="77"/>
      <c r="C91" s="9"/>
      <c r="D91" s="14"/>
      <c r="E91" s="10"/>
      <c r="F91" s="10"/>
      <c r="G91" s="10"/>
      <c r="H91" s="13"/>
      <c r="I91" s="33">
        <f>G87+($I$7*76)+G89</f>
        <v>0</v>
      </c>
      <c r="J91" s="21">
        <f>G87+($I$7*33)</f>
        <v>0</v>
      </c>
      <c r="K91" s="21">
        <f>G87+($I$7*11)</f>
        <v>0</v>
      </c>
      <c r="L91" s="21">
        <f>G87+($I$7*56)</f>
        <v>0</v>
      </c>
      <c r="M91" s="21">
        <f>G87+($I$7*40)</f>
        <v>0</v>
      </c>
      <c r="N91" s="21">
        <f>G87+($I$7*24)</f>
        <v>0</v>
      </c>
      <c r="O91" s="21">
        <f>G87+($I$7*69)</f>
        <v>0</v>
      </c>
      <c r="P91" s="21">
        <f>G87+($I$7*47)</f>
        <v>0</v>
      </c>
      <c r="Q91" s="27">
        <f>G87+($I$7*4)</f>
        <v>0</v>
      </c>
      <c r="R91" s="13"/>
      <c r="S91" s="13"/>
      <c r="T91" s="18" t="s">
        <v>115</v>
      </c>
      <c r="U91" s="13">
        <f>U90*U85</f>
        <v>0</v>
      </c>
      <c r="V91" s="13" t="str">
        <f t="shared" si="35"/>
        <v/>
      </c>
      <c r="W91" s="13" t="str">
        <f t="shared" si="36"/>
        <v/>
      </c>
      <c r="X91" s="16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110" t="str">
        <f>IF(ISERROR(MATCH(V91,'Nomina Barbara'!$C$11:$C$199,0)),"","YES")</f>
        <v/>
      </c>
      <c r="BD91" s="111" t="str">
        <f>IF(ISERROR(MATCH(W91,'Nomina Barbara'!$C$11:$C$199,0)),"","YES")</f>
        <v/>
      </c>
      <c r="BE91" s="59"/>
      <c r="BF91" s="59"/>
      <c r="BG91" s="59"/>
      <c r="BH91" s="59"/>
      <c r="BI91" s="59"/>
      <c r="BJ91" s="59"/>
      <c r="BK91" s="59"/>
      <c r="BL91" s="59"/>
      <c r="BM91" s="133"/>
    </row>
    <row r="92" spans="2:65" ht="34" customHeight="1" thickBot="1">
      <c r="B92" s="77"/>
      <c r="C92" s="9"/>
      <c r="D92" s="14"/>
      <c r="E92" s="14"/>
      <c r="F92" s="14"/>
      <c r="G92" s="14"/>
      <c r="H92" s="13"/>
      <c r="I92" s="28">
        <f>G87+($I$7*8)</f>
        <v>0</v>
      </c>
      <c r="J92" s="29">
        <f>G87+($I$7*64)</f>
        <v>0</v>
      </c>
      <c r="K92" s="29">
        <f>G87+($I$7*48)</f>
        <v>0</v>
      </c>
      <c r="L92" s="29">
        <f>G87+($I$7*12)</f>
        <v>0</v>
      </c>
      <c r="M92" s="29">
        <f>G87+($I$7*80)+G89</f>
        <v>0</v>
      </c>
      <c r="N92" s="29">
        <f>G87+($I$7*28)</f>
        <v>0</v>
      </c>
      <c r="O92" s="29">
        <f>G87+($I$7*19)</f>
        <v>0</v>
      </c>
      <c r="P92" s="29">
        <f>G87+($I$7*57)</f>
        <v>0</v>
      </c>
      <c r="Q92" s="30">
        <f>G87+($I$7*44)</f>
        <v>0</v>
      </c>
      <c r="R92" s="13"/>
      <c r="S92" s="13"/>
      <c r="T92" s="14"/>
      <c r="U92" s="14"/>
      <c r="V92" s="14"/>
      <c r="W92" s="14"/>
      <c r="X92" s="16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110"/>
      <c r="BD92" s="111"/>
      <c r="BE92" s="59"/>
      <c r="BF92" s="59"/>
      <c r="BG92" s="59"/>
      <c r="BH92" s="59"/>
      <c r="BI92" s="59"/>
      <c r="BJ92" s="59"/>
      <c r="BK92" s="59"/>
      <c r="BL92" s="59"/>
      <c r="BM92" s="133"/>
    </row>
    <row r="93" spans="2:65" ht="34" customHeight="1">
      <c r="B93" s="77"/>
      <c r="C93" s="9"/>
      <c r="D93" s="14"/>
      <c r="E93" s="14"/>
      <c r="F93" s="14"/>
      <c r="G93" s="14"/>
      <c r="H93" s="13"/>
      <c r="I93" s="31"/>
      <c r="J93" s="31"/>
      <c r="K93" s="31"/>
      <c r="L93" s="31"/>
      <c r="M93" s="31"/>
      <c r="N93" s="31"/>
      <c r="O93" s="31"/>
      <c r="P93" s="31"/>
      <c r="Q93" s="44" t="str">
        <f>IF(G89=0,"*unamended","*amended")</f>
        <v>*unamended</v>
      </c>
      <c r="R93" s="13"/>
      <c r="S93" s="13"/>
      <c r="T93" s="14"/>
      <c r="U93" s="14"/>
      <c r="V93" s="14"/>
      <c r="W93" s="14"/>
      <c r="X93" s="16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110"/>
      <c r="BD93" s="111"/>
      <c r="BE93" s="59"/>
      <c r="BF93" s="59"/>
      <c r="BG93" s="59"/>
      <c r="BH93" s="59"/>
      <c r="BI93" s="59"/>
      <c r="BJ93" s="59"/>
      <c r="BK93" s="59"/>
      <c r="BL93" s="59"/>
      <c r="BM93" s="133"/>
    </row>
    <row r="94" spans="2:65" ht="34" customHeight="1" thickBot="1">
      <c r="B94" s="77"/>
      <c r="C94" s="5"/>
      <c r="D94" s="6"/>
      <c r="E94" s="6"/>
      <c r="F94" s="6"/>
      <c r="G94" s="6"/>
      <c r="H94" s="22"/>
      <c r="I94" s="22"/>
      <c r="J94" s="22"/>
      <c r="K94" s="22"/>
      <c r="L94" s="22"/>
      <c r="M94" s="22"/>
      <c r="N94" s="22"/>
      <c r="O94" s="22"/>
      <c r="P94" s="22"/>
      <c r="Q94" s="47" t="str">
        <f>IF(Q93="*unamended","","remainder= "&amp;G90)</f>
        <v/>
      </c>
      <c r="R94" s="22"/>
      <c r="S94" s="22"/>
      <c r="T94" s="6"/>
      <c r="U94" s="6"/>
      <c r="V94" s="6"/>
      <c r="W94" s="6"/>
      <c r="X94" s="7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112"/>
      <c r="BD94" s="113"/>
      <c r="BE94" s="59"/>
      <c r="BF94" s="59"/>
      <c r="BG94" s="59"/>
      <c r="BH94" s="59"/>
      <c r="BI94" s="59"/>
      <c r="BJ94" s="59"/>
      <c r="BK94" s="59"/>
      <c r="BL94" s="59"/>
      <c r="BM94" s="133"/>
    </row>
    <row r="95" spans="2:65" ht="34" customHeight="1" thickBot="1">
      <c r="B95" s="77"/>
      <c r="C95" s="59"/>
      <c r="D95" s="59"/>
      <c r="E95" s="59"/>
      <c r="F95" s="59"/>
      <c r="G95" s="59"/>
      <c r="H95" s="59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133"/>
    </row>
    <row r="96" spans="2:65" ht="34" customHeight="1">
      <c r="B96" s="77"/>
      <c r="C96" s="2"/>
      <c r="D96" s="34" t="s">
        <v>129</v>
      </c>
      <c r="E96" s="34"/>
      <c r="F96" s="3"/>
      <c r="G96" s="3"/>
      <c r="H96" s="3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3"/>
      <c r="U96" s="183" t="s">
        <v>116</v>
      </c>
      <c r="V96" s="183"/>
      <c r="W96" s="183"/>
      <c r="X96" s="4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133"/>
    </row>
    <row r="97" spans="2:65" ht="34" customHeight="1" thickBot="1">
      <c r="B97" s="77"/>
      <c r="C97" s="9"/>
      <c r="D97" s="14"/>
      <c r="E97" s="10"/>
      <c r="F97" s="11" t="s">
        <v>125</v>
      </c>
      <c r="G97" s="11" t="s">
        <v>126</v>
      </c>
      <c r="H97" s="10"/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4"/>
      <c r="U97" s="15" t="s">
        <v>119</v>
      </c>
      <c r="V97" s="15" t="s">
        <v>120</v>
      </c>
      <c r="W97" s="15" t="s">
        <v>121</v>
      </c>
      <c r="X97" s="16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133"/>
    </row>
    <row r="98" spans="2:65" ht="34" customHeight="1">
      <c r="B98" s="77"/>
      <c r="C98" s="9"/>
      <c r="D98" s="14"/>
      <c r="E98" s="10" t="s">
        <v>122</v>
      </c>
      <c r="F98" s="10">
        <v>100</v>
      </c>
      <c r="G98" s="17" t="s">
        <v>123</v>
      </c>
      <c r="H98" s="10"/>
      <c r="I98" s="23"/>
      <c r="J98" s="24"/>
      <c r="K98" s="24"/>
      <c r="L98" s="32"/>
      <c r="M98" s="32"/>
      <c r="N98" s="32"/>
      <c r="O98" s="32"/>
      <c r="P98" s="32"/>
      <c r="Q98" s="32"/>
      <c r="R98" s="25"/>
      <c r="S98" s="13"/>
      <c r="T98" s="18" t="s">
        <v>124</v>
      </c>
      <c r="U98" s="13"/>
      <c r="V98" s="13" t="str">
        <f>IF(U98-31&lt;0,"",U98-31)</f>
        <v/>
      </c>
      <c r="W98" s="13" t="str">
        <f>IF(U98-41&lt;0,"",U98-41)</f>
        <v/>
      </c>
      <c r="X98" s="16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133"/>
    </row>
    <row r="99" spans="2:65" ht="34" customHeight="1">
      <c r="B99" s="77"/>
      <c r="C99" s="9"/>
      <c r="D99" s="14"/>
      <c r="E99" s="10" t="s">
        <v>2</v>
      </c>
      <c r="F99" s="10">
        <f>(F98-1)*$I$7</f>
        <v>0</v>
      </c>
      <c r="G99" s="17" t="s">
        <v>123</v>
      </c>
      <c r="H99" s="10"/>
      <c r="I99" s="26"/>
      <c r="J99" s="19"/>
      <c r="K99" s="19"/>
      <c r="L99" s="21"/>
      <c r="M99" s="21"/>
      <c r="N99" s="21"/>
      <c r="O99" s="21"/>
      <c r="P99" s="21"/>
      <c r="Q99" s="21"/>
      <c r="R99" s="27"/>
      <c r="S99" s="13"/>
      <c r="T99" s="18" t="s">
        <v>109</v>
      </c>
      <c r="U99" s="13"/>
      <c r="V99" s="13" t="str">
        <f t="shared" ref="V99:V105" si="37">IF(U99-31&lt;0,"",U99-31)</f>
        <v/>
      </c>
      <c r="W99" s="13" t="str">
        <f t="shared" ref="W99:W105" si="38">IF(U99-41&lt;0,"",U99-41)</f>
        <v/>
      </c>
      <c r="X99" s="16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133"/>
    </row>
    <row r="100" spans="2:65" ht="34" customHeight="1">
      <c r="B100" s="77"/>
      <c r="C100" s="9"/>
      <c r="D100" s="14"/>
      <c r="E100" s="10" t="s">
        <v>3</v>
      </c>
      <c r="F100" s="10">
        <f>10/2</f>
        <v>5</v>
      </c>
      <c r="G100" s="17" t="s">
        <v>123</v>
      </c>
      <c r="H100" s="10"/>
      <c r="I100" s="26"/>
      <c r="J100" s="19"/>
      <c r="K100" s="19"/>
      <c r="L100" s="21"/>
      <c r="M100" s="21"/>
      <c r="N100" s="21"/>
      <c r="O100" s="21"/>
      <c r="P100" s="21"/>
      <c r="Q100" s="21"/>
      <c r="R100" s="27"/>
      <c r="S100" s="13"/>
      <c r="T100" s="18" t="s">
        <v>110</v>
      </c>
      <c r="U100" s="13">
        <f>SUM(U98:U99)</f>
        <v>0</v>
      </c>
      <c r="V100" s="13" t="str">
        <f t="shared" si="37"/>
        <v/>
      </c>
      <c r="W100" s="13" t="str">
        <f t="shared" si="38"/>
        <v/>
      </c>
      <c r="X100" s="16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133"/>
    </row>
    <row r="101" spans="2:65" ht="34" customHeight="1">
      <c r="B101" s="77"/>
      <c r="C101" s="9"/>
      <c r="D101" s="14"/>
      <c r="E101" s="10" t="s">
        <v>4</v>
      </c>
      <c r="F101" s="10">
        <f>(($I$6/F100)-F99)/2</f>
        <v>0</v>
      </c>
      <c r="G101" s="10">
        <f>ROUNDDOWN((ROUNDDOWN(($I$6/F100),0)-F99)/2,0)</f>
        <v>0</v>
      </c>
      <c r="H101" s="10"/>
      <c r="I101" s="33"/>
      <c r="J101" s="21"/>
      <c r="K101" s="21"/>
      <c r="L101" s="21"/>
      <c r="M101" s="21"/>
      <c r="N101" s="21"/>
      <c r="O101" s="21"/>
      <c r="P101" s="21"/>
      <c r="Q101" s="21"/>
      <c r="R101" s="27"/>
      <c r="S101" s="13"/>
      <c r="T101" s="18" t="s">
        <v>111</v>
      </c>
      <c r="U101" s="13">
        <f>$I$6</f>
        <v>0</v>
      </c>
      <c r="V101" s="13" t="str">
        <f t="shared" si="37"/>
        <v/>
      </c>
      <c r="W101" s="13" t="str">
        <f t="shared" si="38"/>
        <v/>
      </c>
      <c r="X101" s="16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133"/>
    </row>
    <row r="102" spans="2:65" ht="34" customHeight="1">
      <c r="B102" s="77"/>
      <c r="C102" s="9"/>
      <c r="D102" s="14"/>
      <c r="E102" s="10" t="s">
        <v>5</v>
      </c>
      <c r="F102" s="20"/>
      <c r="G102" s="10"/>
      <c r="H102" s="13"/>
      <c r="I102" s="33"/>
      <c r="J102" s="21"/>
      <c r="K102" s="21"/>
      <c r="L102" s="21"/>
      <c r="M102" s="21"/>
      <c r="N102" s="21"/>
      <c r="O102" s="21"/>
      <c r="P102" s="21"/>
      <c r="Q102" s="21"/>
      <c r="R102" s="27"/>
      <c r="S102" s="13"/>
      <c r="T102" s="18" t="s">
        <v>112</v>
      </c>
      <c r="U102" s="13">
        <f>SUM(I98:R107)</f>
        <v>0</v>
      </c>
      <c r="V102" s="13" t="str">
        <f t="shared" si="37"/>
        <v/>
      </c>
      <c r="W102" s="13" t="str">
        <f t="shared" si="38"/>
        <v/>
      </c>
      <c r="X102" s="16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133"/>
    </row>
    <row r="103" spans="2:65" ht="34" customHeight="1">
      <c r="B103" s="77"/>
      <c r="C103" s="9"/>
      <c r="D103" s="14"/>
      <c r="E103" s="10" t="s">
        <v>0</v>
      </c>
      <c r="F103" s="17" t="s">
        <v>123</v>
      </c>
      <c r="G103" s="10">
        <f>ABS(SUM(G101+($I$7*9),G101+($I$7*77),G101+($I$7*34),G101+($I$7*25),G101+($I$7*54),G101+($I$7*41),G101+($I$7*5),G101+($I$7*70),G101+($I$7*45),G101+($I$7*45))-$I$6)</f>
        <v>0</v>
      </c>
      <c r="H103" s="13"/>
      <c r="I103" s="33"/>
      <c r="J103" s="21"/>
      <c r="K103" s="21"/>
      <c r="L103" s="21"/>
      <c r="M103" s="21"/>
      <c r="N103" s="21"/>
      <c r="O103" s="21"/>
      <c r="P103" s="21"/>
      <c r="Q103" s="21"/>
      <c r="R103" s="27"/>
      <c r="S103" s="13"/>
      <c r="T103" s="18" t="s">
        <v>113</v>
      </c>
      <c r="U103" s="13">
        <f>SUM(U101:U102)</f>
        <v>0</v>
      </c>
      <c r="V103" s="13" t="str">
        <f t="shared" si="37"/>
        <v/>
      </c>
      <c r="W103" s="13" t="str">
        <f t="shared" si="38"/>
        <v/>
      </c>
      <c r="X103" s="16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133"/>
    </row>
    <row r="104" spans="2:65" ht="34" customHeight="1">
      <c r="B104" s="77"/>
      <c r="C104" s="9"/>
      <c r="D104" s="14"/>
      <c r="E104" s="10" t="s">
        <v>1</v>
      </c>
      <c r="F104" s="17" t="s">
        <v>123</v>
      </c>
      <c r="G104" s="10">
        <v>91</v>
      </c>
      <c r="H104" s="13"/>
      <c r="I104" s="36"/>
      <c r="J104" s="21"/>
      <c r="K104" s="21"/>
      <c r="L104" s="21"/>
      <c r="M104" s="21"/>
      <c r="N104" s="21"/>
      <c r="O104" s="21"/>
      <c r="P104" s="21"/>
      <c r="Q104" s="21"/>
      <c r="R104" s="27"/>
      <c r="S104" s="13"/>
      <c r="T104" s="18" t="s">
        <v>114</v>
      </c>
      <c r="U104" s="13">
        <f>U103*2</f>
        <v>0</v>
      </c>
      <c r="V104" s="13" t="str">
        <f t="shared" si="37"/>
        <v/>
      </c>
      <c r="W104" s="13" t="str">
        <f t="shared" si="38"/>
        <v/>
      </c>
      <c r="X104" s="16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133"/>
    </row>
    <row r="105" spans="2:65" ht="34" customHeight="1">
      <c r="B105" s="77"/>
      <c r="C105" s="9"/>
      <c r="D105" s="14"/>
      <c r="E105" s="10"/>
      <c r="F105" s="10"/>
      <c r="G105" s="10"/>
      <c r="H105" s="13"/>
      <c r="I105" s="33"/>
      <c r="J105" s="21"/>
      <c r="K105" s="21"/>
      <c r="L105" s="21"/>
      <c r="M105" s="21"/>
      <c r="N105" s="21"/>
      <c r="O105" s="21"/>
      <c r="P105" s="21"/>
      <c r="Q105" s="21"/>
      <c r="R105" s="27"/>
      <c r="S105" s="13"/>
      <c r="T105" s="18" t="s">
        <v>115</v>
      </c>
      <c r="U105" s="13">
        <f>U104*U99</f>
        <v>0</v>
      </c>
      <c r="V105" s="13" t="str">
        <f t="shared" si="37"/>
        <v/>
      </c>
      <c r="W105" s="13" t="str">
        <f t="shared" si="38"/>
        <v/>
      </c>
      <c r="X105" s="16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133"/>
    </row>
    <row r="106" spans="2:65" ht="34" customHeight="1">
      <c r="B106" s="77"/>
      <c r="C106" s="9"/>
      <c r="D106" s="14"/>
      <c r="E106" s="14"/>
      <c r="F106" s="14"/>
      <c r="G106" s="14"/>
      <c r="H106" s="13"/>
      <c r="I106" s="33"/>
      <c r="J106" s="21"/>
      <c r="K106" s="21"/>
      <c r="L106" s="21"/>
      <c r="M106" s="21"/>
      <c r="N106" s="21"/>
      <c r="O106" s="21"/>
      <c r="P106" s="21"/>
      <c r="Q106" s="21"/>
      <c r="R106" s="27"/>
      <c r="S106" s="13"/>
      <c r="T106" s="14"/>
      <c r="U106" s="14"/>
      <c r="V106" s="14"/>
      <c r="W106" s="14"/>
      <c r="X106" s="16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133"/>
    </row>
    <row r="107" spans="2:65" ht="34" customHeight="1" thickBot="1">
      <c r="B107" s="77"/>
      <c r="C107" s="9"/>
      <c r="D107" s="14"/>
      <c r="E107" s="14"/>
      <c r="F107" s="14"/>
      <c r="G107" s="14"/>
      <c r="H107" s="13"/>
      <c r="I107" s="35"/>
      <c r="J107" s="29"/>
      <c r="K107" s="29"/>
      <c r="L107" s="29"/>
      <c r="M107" s="29"/>
      <c r="N107" s="29"/>
      <c r="O107" s="29"/>
      <c r="P107" s="29"/>
      <c r="Q107" s="29"/>
      <c r="R107" s="30"/>
      <c r="S107" s="13"/>
      <c r="T107" s="14"/>
      <c r="U107" s="14"/>
      <c r="V107" s="14"/>
      <c r="W107" s="14"/>
      <c r="X107" s="16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133"/>
    </row>
    <row r="108" spans="2:65" ht="34" customHeight="1">
      <c r="B108" s="77"/>
      <c r="C108" s="9"/>
      <c r="D108" s="14"/>
      <c r="E108" s="14"/>
      <c r="F108" s="14"/>
      <c r="G108" s="14"/>
      <c r="H108" s="13"/>
      <c r="I108" s="31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4"/>
      <c r="U108" s="14"/>
      <c r="V108" s="14"/>
      <c r="W108" s="14"/>
      <c r="X108" s="16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133"/>
    </row>
    <row r="109" spans="2:65" ht="34" customHeight="1" thickBot="1">
      <c r="B109" s="77"/>
      <c r="C109" s="5"/>
      <c r="D109" s="6"/>
      <c r="E109" s="6"/>
      <c r="F109" s="6"/>
      <c r="G109" s="6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6"/>
      <c r="U109" s="6"/>
      <c r="V109" s="6"/>
      <c r="W109" s="6"/>
      <c r="X109" s="7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133"/>
    </row>
    <row r="110" spans="2:65" ht="34" customHeight="1" thickBot="1">
      <c r="B110" s="79"/>
      <c r="C110" s="80"/>
      <c r="D110" s="80"/>
      <c r="E110" s="80"/>
      <c r="F110" s="80"/>
      <c r="G110" s="80"/>
      <c r="H110" s="80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3"/>
    </row>
    <row r="111" spans="2:65" s="14" customFormat="1" ht="36" customHeight="1"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2:65" s="14" customFormat="1" ht="36" customHeight="1"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9:19" s="14" customFormat="1" ht="36" customHeight="1"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9:19" s="14" customFormat="1" ht="36" customHeight="1"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9:19" s="14" customFormat="1" ht="36" customHeight="1"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9:19" s="14" customFormat="1" ht="36" customHeight="1"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9:19" s="14" customFormat="1" ht="36" customHeight="1"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9:19" s="14" customFormat="1" ht="36" customHeight="1"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9:19" s="14" customFormat="1" ht="36" customHeight="1"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9:19" s="14" customFormat="1" ht="36" customHeight="1"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9:19" s="14" customFormat="1" ht="36" customHeight="1"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9:19" s="14" customFormat="1" ht="36" customHeight="1"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9:19" s="14" customFormat="1" ht="36" customHeight="1"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9:19" s="14" customFormat="1" ht="36" customHeight="1"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9:19" s="14" customFormat="1" ht="36" customHeight="1"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9:19" s="14" customFormat="1" ht="36" customHeight="1"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9:19" s="14" customFormat="1" ht="36" customHeight="1"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9:19" s="14" customFormat="1" ht="36" customHeight="1"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9:19" s="14" customFormat="1" ht="36" customHeight="1"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9:19" s="14" customFormat="1" ht="36" customHeight="1"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9:19" s="14" customFormat="1" ht="36" customHeight="1"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9:19" s="14" customFormat="1" ht="36" customHeight="1"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9:19" s="14" customFormat="1" ht="36" customHeight="1"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9:19" s="14" customFormat="1" ht="36" customHeight="1"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9:19" s="14" customFormat="1" ht="36" customHeight="1"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9:19" s="14" customFormat="1" ht="36" customHeight="1"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9:19" s="14" customFormat="1" ht="36" customHeight="1"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9:19" s="14" customFormat="1" ht="36" customHeight="1"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9:19" s="14" customFormat="1" ht="36" customHeight="1"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9:19" s="14" customFormat="1" ht="36" customHeight="1"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9:19" s="14" customFormat="1" ht="36" customHeight="1"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9:19" s="14" customFormat="1" ht="36" customHeight="1"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9:19" s="14" customFormat="1" ht="36" customHeight="1"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9:19" s="14" customFormat="1" ht="36" customHeight="1"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9:19" s="14" customFormat="1" ht="36" customHeight="1"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9:19" s="14" customFormat="1" ht="36" customHeight="1"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9:19" s="14" customFormat="1" ht="36" customHeight="1"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9:19" s="14" customFormat="1" ht="36" customHeight="1"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9:19" s="14" customFormat="1" ht="36" customHeight="1"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9:19" s="14" customFormat="1" ht="36" customHeight="1"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9:19" s="14" customFormat="1" ht="36" customHeight="1"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9:19" s="14" customFormat="1" ht="36" customHeight="1"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9:19" s="14" customFormat="1" ht="36" customHeight="1"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9:19" s="14" customFormat="1" ht="36" customHeight="1"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9:19" s="14" customFormat="1" ht="36" customHeight="1"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9:19" s="14" customFormat="1" ht="36" customHeight="1"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9:19" s="14" customFormat="1" ht="36" customHeight="1"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9:19" s="14" customFormat="1" ht="36" customHeight="1"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9:19" s="14" customFormat="1" ht="36" customHeight="1"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9:19" s="14" customFormat="1" ht="36" customHeight="1"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9:19" s="14" customFormat="1" ht="36" customHeight="1"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9:19" s="14" customFormat="1" ht="36" customHeight="1"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9:19" s="14" customFormat="1" ht="36" customHeight="1"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9:19" s="14" customFormat="1" ht="36" customHeight="1"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9:19" s="14" customFormat="1" ht="36" customHeight="1"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9:19" s="14" customFormat="1" ht="36" customHeight="1"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9:19" s="14" customFormat="1" ht="36" customHeight="1"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9:19" s="14" customFormat="1" ht="36" customHeight="1"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9:19" s="14" customFormat="1" ht="36" customHeight="1"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9:19" s="14" customFormat="1" ht="36" customHeight="1"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9:19" s="14" customFormat="1" ht="36" customHeight="1"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9:19" s="14" customFormat="1" ht="36" customHeight="1"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9:19" s="14" customFormat="1" ht="36" customHeight="1"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9:19" s="14" customFormat="1" ht="36" customHeight="1"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9:19" s="14" customFormat="1" ht="36" customHeight="1"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9:19" s="14" customFormat="1" ht="36" customHeight="1"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9:19" s="14" customFormat="1" ht="36" customHeight="1"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9:19" s="14" customFormat="1" ht="36" customHeight="1"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9:19" s="14" customFormat="1" ht="36" customHeight="1"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9:19" s="14" customFormat="1" ht="36" customHeight="1"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9:19" s="14" customFormat="1" ht="36" customHeight="1"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9:19" s="14" customFormat="1" ht="36" customHeight="1"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9:19" s="14" customFormat="1" ht="36" customHeight="1"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9:19" s="14" customFormat="1" ht="36" customHeight="1"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9:19" s="14" customFormat="1" ht="36" customHeight="1"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9:19" s="14" customFormat="1" ht="36" customHeight="1"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9:19" s="14" customFormat="1" ht="36" customHeight="1"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9:19" s="14" customFormat="1" ht="36" customHeight="1"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9:19" s="14" customFormat="1" ht="36" customHeight="1"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9:19" s="14" customFormat="1" ht="36" customHeight="1"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9:19" s="14" customFormat="1" ht="36" customHeight="1"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9:19" s="14" customFormat="1" ht="36" customHeight="1"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9:19" s="14" customFormat="1" ht="36" customHeight="1"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9:19" s="14" customFormat="1" ht="36" customHeight="1"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9:19" s="14" customFormat="1" ht="36" customHeight="1"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9:19" s="14" customFormat="1" ht="36" customHeight="1"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9:19" s="14" customFormat="1" ht="36" customHeight="1"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9:19" s="14" customFormat="1" ht="36" customHeight="1"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9:19" s="14" customFormat="1" ht="36" customHeight="1"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9:19" s="14" customFormat="1" ht="36" customHeight="1"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9:19" s="14" customFormat="1" ht="36" customHeight="1"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9:19" s="14" customFormat="1" ht="36" customHeight="1"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9:19" s="14" customFormat="1" ht="36" customHeight="1"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9:19" s="14" customFormat="1" ht="36" customHeight="1"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9:19" s="14" customFormat="1" ht="36" customHeight="1"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9:19" s="14" customFormat="1" ht="36" customHeight="1"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9:19" s="14" customFormat="1" ht="36" customHeight="1"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9:19" s="14" customFormat="1" ht="36" customHeight="1"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9:19" s="14" customFormat="1" ht="36" customHeight="1"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9:19" s="14" customFormat="1" ht="36" customHeight="1"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9:19" s="14" customFormat="1" ht="36" customHeight="1"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9:19" s="14" customFormat="1" ht="36" customHeight="1"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9:19" s="14" customFormat="1" ht="36" customHeight="1"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9:19" s="14" customFormat="1" ht="36" customHeight="1"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</row>
    <row r="215" spans="9:19" s="14" customFormat="1" ht="36" customHeight="1"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</row>
    <row r="216" spans="9:19" s="14" customFormat="1" ht="36" customHeight="1"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9:19" s="14" customFormat="1" ht="36" customHeight="1"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18" spans="9:19" s="14" customFormat="1" ht="36" customHeight="1"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</row>
    <row r="219" spans="9:19" s="14" customFormat="1" ht="36" customHeight="1"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9:19" s="14" customFormat="1" ht="36" customHeight="1"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</row>
    <row r="221" spans="9:19" s="14" customFormat="1" ht="36" customHeight="1"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</row>
    <row r="222" spans="9:19" s="14" customFormat="1" ht="36" customHeight="1"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</row>
    <row r="223" spans="9:19" s="14" customFormat="1" ht="36" customHeight="1"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</row>
    <row r="224" spans="9:19" s="14" customFormat="1" ht="36" customHeight="1"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</row>
    <row r="225" spans="9:19" s="14" customFormat="1" ht="36" customHeight="1"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9:19" s="14" customFormat="1" ht="36" customHeight="1"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</row>
    <row r="227" spans="9:19" s="14" customFormat="1" ht="36" customHeight="1"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</row>
    <row r="228" spans="9:19" s="14" customFormat="1" ht="36" customHeight="1"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</row>
    <row r="229" spans="9:19" s="14" customFormat="1" ht="36" customHeight="1"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</row>
    <row r="230" spans="9:19" s="14" customFormat="1" ht="36" customHeight="1"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9:19" s="14" customFormat="1" ht="36" customHeight="1"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9:19" s="14" customFormat="1" ht="36" customHeight="1"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</row>
    <row r="233" spans="9:19" s="14" customFormat="1" ht="36" customHeight="1"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</row>
    <row r="234" spans="9:19" s="14" customFormat="1" ht="36" customHeight="1"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</row>
    <row r="235" spans="9:19" s="14" customFormat="1" ht="36" customHeight="1"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</row>
    <row r="236" spans="9:19" s="14" customFormat="1" ht="36" customHeight="1"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</row>
    <row r="237" spans="9:19" s="14" customFormat="1" ht="36" customHeight="1"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</row>
    <row r="238" spans="9:19" s="14" customFormat="1" ht="36" customHeight="1"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</row>
    <row r="239" spans="9:19" s="14" customFormat="1" ht="36" customHeight="1"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</row>
    <row r="240" spans="9:19" s="14" customFormat="1" ht="36" customHeight="1"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</row>
    <row r="241" spans="9:19" s="14" customFormat="1" ht="36" customHeight="1"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</row>
    <row r="242" spans="9:19" s="14" customFormat="1" ht="36" customHeight="1"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</row>
    <row r="243" spans="9:19" s="14" customFormat="1" ht="36" customHeight="1"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9:19" s="14" customFormat="1" ht="36" customHeight="1"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9:19" s="14" customFormat="1" ht="36" customHeight="1"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</row>
    <row r="246" spans="9:19" s="14" customFormat="1" ht="36" customHeight="1"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</row>
    <row r="247" spans="9:19" s="14" customFormat="1" ht="36" customHeight="1"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</row>
    <row r="248" spans="9:19" s="14" customFormat="1" ht="36" customHeight="1"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</row>
    <row r="249" spans="9:19" s="14" customFormat="1" ht="36" customHeight="1"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</row>
    <row r="250" spans="9:19" s="14" customFormat="1" ht="36" customHeight="1"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9:19" s="14" customFormat="1" ht="36" customHeight="1"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</row>
    <row r="252" spans="9:19" s="14" customFormat="1" ht="36" customHeight="1"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</row>
    <row r="253" spans="9:19" s="14" customFormat="1" ht="36" customHeight="1"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9:19" s="14" customFormat="1" ht="36" customHeight="1"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</row>
    <row r="255" spans="9:19" s="14" customFormat="1" ht="36" customHeight="1"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9:19" s="14" customFormat="1" ht="36" customHeight="1"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</row>
    <row r="257" spans="9:19" s="14" customFormat="1" ht="36" customHeight="1"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9:19" s="14" customFormat="1" ht="36" customHeight="1"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</row>
    <row r="259" spans="9:19" s="14" customFormat="1" ht="36" customHeight="1"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</row>
    <row r="260" spans="9:19" s="14" customFormat="1" ht="36" customHeight="1"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</row>
    <row r="261" spans="9:19" s="14" customFormat="1" ht="36" customHeight="1"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</row>
    <row r="262" spans="9:19" s="14" customFormat="1" ht="36" customHeight="1"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</row>
    <row r="263" spans="9:19" s="14" customFormat="1" ht="36" customHeight="1"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</row>
    <row r="264" spans="9:19" s="14" customFormat="1" ht="36" customHeight="1"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</row>
  </sheetData>
  <sheetProtection password="CB5E" sheet="1" objects="1" scenarios="1"/>
  <mergeCells count="19">
    <mergeCell ref="K6:K7"/>
    <mergeCell ref="AY10:BB10"/>
    <mergeCell ref="AY11:BB11"/>
    <mergeCell ref="BC9:BD9"/>
    <mergeCell ref="BC21:BD21"/>
    <mergeCell ref="U96:W96"/>
    <mergeCell ref="U45:W45"/>
    <mergeCell ref="U57:W57"/>
    <mergeCell ref="U69:W69"/>
    <mergeCell ref="BI9:BL9"/>
    <mergeCell ref="BC45:BD45"/>
    <mergeCell ref="BC57:BD57"/>
    <mergeCell ref="BC69:BD69"/>
    <mergeCell ref="BC82:BD82"/>
    <mergeCell ref="U9:W9"/>
    <mergeCell ref="U21:W21"/>
    <mergeCell ref="U33:W33"/>
    <mergeCell ref="BC33:BD33"/>
    <mergeCell ref="U82:W82"/>
  </mergeCells>
  <phoneticPr fontId="1" type="noConversion"/>
  <pageMargins left="0.75" right="0.75" top="1" bottom="1" header="0.5" footer="0.5"/>
  <pageSetup paperSize="0" scale="28" orientation="portrait" horizontalDpi="4294967292" verticalDpi="4294967292"/>
  <headerFooter alignWithMargins="0"/>
  <rowBreaks count="2" manualBreakCount="2">
    <brk id="55" max="16383" man="1"/>
    <brk id="96" max="16383" man="1"/>
  </row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202"/>
  <sheetViews>
    <sheetView showGridLines="0" zoomScaleNormal="100" workbookViewId="0">
      <selection activeCell="V28" sqref="V28"/>
    </sheetView>
  </sheetViews>
  <sheetFormatPr baseColWidth="10" defaultColWidth="10.6640625" defaultRowHeight="20" customHeight="1"/>
  <cols>
    <col min="1" max="1" width="8" style="102" customWidth="1"/>
    <col min="2" max="2" width="5.6640625" style="102" customWidth="1"/>
    <col min="3" max="3" width="11" style="103" customWidth="1"/>
    <col min="4" max="18" width="3.5" style="158" customWidth="1"/>
    <col min="19" max="20" width="19.33203125" style="158" customWidth="1"/>
    <col min="21" max="21" width="10.6640625" style="158"/>
    <col min="22" max="22" width="27.33203125" style="158" customWidth="1"/>
    <col min="23" max="23" width="12.5" style="158" customWidth="1"/>
    <col min="24" max="24" width="6.5" style="102" customWidth="1"/>
    <col min="25" max="16384" width="10.6640625" style="102"/>
  </cols>
  <sheetData>
    <row r="1" spans="2:29" ht="20" customHeight="1" thickBot="1"/>
    <row r="2" spans="2:29" ht="20" customHeight="1">
      <c r="B2" s="14"/>
      <c r="C2" s="75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97"/>
      <c r="Y2" s="97"/>
      <c r="Z2" s="97"/>
      <c r="AA2" s="97"/>
      <c r="AB2" s="97"/>
      <c r="AC2" s="98"/>
    </row>
    <row r="3" spans="2:29" ht="20" customHeight="1">
      <c r="B3" s="14"/>
      <c r="C3" s="92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59"/>
      <c r="Y3" s="59"/>
      <c r="Z3" s="59"/>
      <c r="AA3" s="59"/>
      <c r="AB3" s="59"/>
      <c r="AC3" s="78"/>
    </row>
    <row r="4" spans="2:29" ht="20" customHeight="1">
      <c r="B4" s="14"/>
      <c r="C4" s="92"/>
      <c r="D4" s="114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59"/>
      <c r="Y4" s="59"/>
      <c r="Z4" s="59"/>
      <c r="AA4" s="59"/>
      <c r="AB4" s="59"/>
      <c r="AC4" s="78"/>
    </row>
    <row r="5" spans="2:29" ht="20" customHeight="1">
      <c r="B5" s="14"/>
      <c r="C5" s="8"/>
      <c r="D5" s="8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59"/>
      <c r="Y5" s="59"/>
      <c r="Z5" s="59"/>
      <c r="AA5" s="59"/>
      <c r="AB5" s="59"/>
      <c r="AC5" s="78"/>
    </row>
    <row r="6" spans="2:29" ht="29" customHeight="1">
      <c r="B6" s="77"/>
      <c r="C6" s="8"/>
      <c r="D6" s="171" t="s">
        <v>149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59"/>
      <c r="Y6" s="59"/>
      <c r="Z6" s="59"/>
      <c r="AA6" s="59"/>
      <c r="AB6" s="59"/>
      <c r="AC6" s="78"/>
    </row>
    <row r="7" spans="2:29" ht="20" customHeight="1" thickBot="1">
      <c r="B7" s="77"/>
      <c r="C7" s="92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59"/>
      <c r="Y7" s="59"/>
      <c r="Z7" s="59"/>
      <c r="AA7" s="59"/>
      <c r="AB7" s="59"/>
      <c r="AC7" s="78"/>
    </row>
    <row r="8" spans="2:29" ht="20" customHeight="1">
      <c r="B8" s="77"/>
      <c r="C8" s="195" t="s">
        <v>50</v>
      </c>
      <c r="D8" s="198" t="s">
        <v>305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200"/>
      <c r="S8" s="192" t="s">
        <v>131</v>
      </c>
      <c r="T8" s="192" t="s">
        <v>306</v>
      </c>
      <c r="U8" s="195" t="s">
        <v>307</v>
      </c>
      <c r="V8" s="216" t="s">
        <v>308</v>
      </c>
      <c r="W8" s="213" t="s">
        <v>309</v>
      </c>
      <c r="X8" s="59"/>
      <c r="Y8" s="207" t="s">
        <v>172</v>
      </c>
      <c r="Z8" s="208"/>
      <c r="AA8" s="208"/>
      <c r="AB8" s="209"/>
      <c r="AC8" s="78"/>
    </row>
    <row r="9" spans="2:29" ht="20" customHeight="1" thickBot="1">
      <c r="B9" s="77"/>
      <c r="C9" s="196"/>
      <c r="D9" s="201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3"/>
      <c r="S9" s="193"/>
      <c r="T9" s="193"/>
      <c r="U9" s="196"/>
      <c r="V9" s="217"/>
      <c r="W9" s="214"/>
      <c r="X9" s="59"/>
      <c r="Y9" s="210"/>
      <c r="Z9" s="211"/>
      <c r="AA9" s="211"/>
      <c r="AB9" s="212"/>
      <c r="AC9" s="78"/>
    </row>
    <row r="10" spans="2:29" ht="20" customHeight="1" thickBot="1">
      <c r="B10" s="77"/>
      <c r="C10" s="197"/>
      <c r="D10" s="204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194"/>
      <c r="T10" s="194"/>
      <c r="U10" s="197"/>
      <c r="V10" s="218"/>
      <c r="W10" s="215"/>
      <c r="X10" s="59"/>
      <c r="Y10" s="115" t="s">
        <v>208</v>
      </c>
      <c r="Z10" s="116" t="s">
        <v>173</v>
      </c>
      <c r="AA10" s="117" t="s">
        <v>209</v>
      </c>
      <c r="AB10" s="118" t="s">
        <v>210</v>
      </c>
      <c r="AC10" s="78"/>
    </row>
    <row r="11" spans="2:29" ht="20" customHeight="1">
      <c r="B11" s="77"/>
      <c r="C11" s="104">
        <f>U11</f>
        <v>70</v>
      </c>
      <c r="D11" s="135"/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141</v>
      </c>
      <c r="O11" s="136" t="s">
        <v>151</v>
      </c>
      <c r="P11" s="136" t="s">
        <v>61</v>
      </c>
      <c r="Q11" s="136" t="s">
        <v>62</v>
      </c>
      <c r="R11" s="137" t="s">
        <v>63</v>
      </c>
      <c r="S11" s="138" t="str">
        <f>D11&amp;E11&amp;F11&amp;G11&amp;H11&amp;I11&amp;J11&amp;K11&amp;L11&amp;M11&amp;N11&amp;O11&amp;P11&amp;Q11&amp;R11</f>
        <v>hyuvm</v>
      </c>
      <c r="T11" s="139" t="str">
        <f>IF(R11="","",VLOOKUP(R11,$Y$11:$AB$32,4))&amp;IF(Q11="","",VLOOKUP(Q11,$Y$11:$AB$32,4))&amp;IF(P11="","",VLOOKUP(P11,$Y$11:$AB$32,4))&amp;IF(O11="","",VLOOKUP(O11,$Y$11:$AB$32,4))&amp;IF(N11="","",VLOOKUP(N11,$Y$11:$AB$32,4))&amp;IF(M11="","",VLOOKUP(M11,$Y$11:$AB$32,4))&amp;IF(L11="","",VLOOKUP(L11,$Y$11:$AB$32,4))&amp;IF(K11="","",VLOOKUP(K11,$Y$11:$AB$32,4))&amp;IF(J11="","",VLOOKUP(J11,$Y$11:$AB$32,4))&amp;IF(I11="","",VLOOKUP(I11,$Y$11:$AB$32,4))&amp;IF(H11="","",VLOOKUP(H11,$Y$11:$AB$32,4))&amp;IF(G11="","",VLOOKUP(G11,$Y$11:$AB$32,4))&amp;IF(F11="","",VLOOKUP(F11,$Y$11:$AB$32,4))&amp;IF(E11="","",VLOOKUP(E11,$Y$11:$AB$32,4))&amp;IF(D11="","",VLOOKUP(D11,$Y$11:$AB$32,4))</f>
        <v>MVTYH</v>
      </c>
      <c r="U11" s="140">
        <f>IF(R11="",0,VLOOKUP(R11,$Y$11:$Z$32,2))+IF(Q11="",0,VLOOKUP(Q11,$Y$11:$Z$32,2))+IF(P11="",0,VLOOKUP(P11,$Y$11:$Z$32,2))+IF(O11="",0,VLOOKUP(O11,$Y$11:$Z$32,2))+IF(N11="",0,VLOOKUP(N11,$Y$11:$Z$32,2))+IF(M11="",0,VLOOKUP(M11,$Y$11:$Z$32,2))+IF(L11="",0,VLOOKUP(L11,$Y$11:$Z$32,2))+IF(K11="",0,VLOOKUP(K11,$Y$11:$Z$32,2))+IF(J11="",0,VLOOKUP(J11,$Y$11:$Z$32,2))+IF(I11="",0,VLOOKUP(I11,$Y$11:$Z$32,2))+IF(H11="",0,VLOOKUP(H11,$Y$11:$Z$32,2))+IF(G11="",0,VLOOKUP(G11,$Y$11:$Z$32,2))+IF(F11="",0,VLOOKUP(F11,$Y$11:$Z$32,2))+IF(E11="",0,VLOOKUP(E11,$Y$11:$Z$32,2))+IF(D11="",0,VLOOKUP(D11,$Y$11:$Z$32,2))</f>
        <v>70</v>
      </c>
      <c r="V11" s="141" t="s">
        <v>64</v>
      </c>
      <c r="W11" s="142" t="s">
        <v>35</v>
      </c>
      <c r="X11" s="59"/>
      <c r="Y11" s="119" t="s">
        <v>21</v>
      </c>
      <c r="Z11" s="120">
        <v>1</v>
      </c>
      <c r="AA11" s="120" t="s">
        <v>211</v>
      </c>
      <c r="AB11" s="121" t="s">
        <v>174</v>
      </c>
      <c r="AC11" s="78"/>
    </row>
    <row r="12" spans="2:29" ht="20" customHeight="1">
      <c r="B12" s="77"/>
      <c r="C12" s="105">
        <f t="shared" ref="C12:C75" si="0">U12</f>
        <v>185</v>
      </c>
      <c r="D12" s="143"/>
      <c r="E12" s="144"/>
      <c r="F12" s="144"/>
      <c r="G12" s="144"/>
      <c r="H12" s="144"/>
      <c r="I12" s="144"/>
      <c r="J12" s="144"/>
      <c r="K12" s="144"/>
      <c r="L12" s="144" t="s">
        <v>42</v>
      </c>
      <c r="M12" s="144" t="s">
        <v>155</v>
      </c>
      <c r="N12" s="144" t="s">
        <v>151</v>
      </c>
      <c r="O12" s="144" t="s">
        <v>42</v>
      </c>
      <c r="P12" s="144" t="s">
        <v>62</v>
      </c>
      <c r="Q12" s="144" t="s">
        <v>44</v>
      </c>
      <c r="R12" s="145" t="s">
        <v>142</v>
      </c>
      <c r="S12" s="146" t="str">
        <f t="shared" ref="S12:S75" si="1">D12&amp;E12&amp;F12&amp;G12&amp;H12&amp;I12&amp;J12&amp;K12&amp;L12&amp;M12&amp;N12&amp;O12&amp;P12&amp;Q12&amp;R12</f>
        <v>laylvqx</v>
      </c>
      <c r="T12" s="147" t="str">
        <f>IF(R12="","",VLOOKUP(R12,$Y$11:$AB$32,4))&amp;IF(Q12="","",VLOOKUP(Q12,$Y$11:$AB$32,4))&amp;IF(P12="","",VLOOKUP(P12,$Y$11:$AB$32,4))&amp;IF(O12="","",VLOOKUP(O12,$Y$11:$AB$32,4))&amp;IF(N12="","",VLOOKUP(N12,$Y$11:$AB$32,4))&amp;IF(M12="","",VLOOKUP(M12,$Y$11:$AB$32,4))&amp;IF(L12="","",VLOOKUP(L12,$Y$11:$AB$32,4))&amp;IF(K12="","",VLOOKUP(K12,$Y$11:$AB$32,4))&amp;IF(J12="","",VLOOKUP(J12,$Y$11:$AB$32,4))&amp;IF(I12="","",VLOOKUP(I12,$Y$11:$AB$32,4))&amp;IF(H12="","",VLOOKUP(H12,$Y$11:$AB$32,4))&amp;IF(G12="","",VLOOKUP(G12,$Y$11:$AB$32,4))&amp;IF(F12="","",VLOOKUP(F12,$Y$11:$AB$32,4))&amp;IF(E12="","",VLOOKUP(E12,$Y$11:$AB$32,4))&amp;IF(D12="","",VLOOKUP(D12,$Y$11:$AB$32,4))</f>
        <v>ChQVLYAL</v>
      </c>
      <c r="U12" s="148">
        <f t="shared" ref="U12:U75" si="2">IF(R12="",0,VLOOKUP(R12,$Y$11:$Z$32,2))+IF(Q12="",0,VLOOKUP(Q12,$Y$11:$Z$32,2))+IF(P12="",0,VLOOKUP(P12,$Y$11:$Z$32,2))+IF(O12="",0,VLOOKUP(O12,$Y$11:$Z$32,2))+IF(N12="",0,VLOOKUP(N12,$Y$11:$Z$32,2))+IF(M12="",0,VLOOKUP(M12,$Y$11:$Z$32,2))+IF(L12="",0,VLOOKUP(L12,$Y$11:$Z$32,2))+IF(K12="",0,VLOOKUP(K12,$Y$11:$Z$32,2))+IF(J12="",0,VLOOKUP(J12,$Y$11:$Z$32,2))+IF(I12="",0,VLOOKUP(I12,$Y$11:$Z$32,2))+IF(H12="",0,VLOOKUP(H12,$Y$11:$Z$32,2))+IF(G12="",0,VLOOKUP(G12,$Y$11:$Z$32,2))+IF(F12="",0,VLOOKUP(F12,$Y$11:$Z$32,2))+IF(E12="",0,VLOOKUP(E12,$Y$11:$Z$32,2))+IF(D12="",0,VLOOKUP(D12,$Y$11:$Z$32,2))</f>
        <v>185</v>
      </c>
      <c r="V12" s="149" t="s">
        <v>290</v>
      </c>
      <c r="W12" s="150" t="s">
        <v>35</v>
      </c>
      <c r="X12" s="59"/>
      <c r="Y12" s="122" t="s">
        <v>24</v>
      </c>
      <c r="Z12" s="123">
        <v>2</v>
      </c>
      <c r="AA12" s="123" t="s">
        <v>212</v>
      </c>
      <c r="AB12" s="124" t="s">
        <v>175</v>
      </c>
      <c r="AC12" s="78"/>
    </row>
    <row r="13" spans="2:29" ht="20" customHeight="1">
      <c r="B13" s="77"/>
      <c r="C13" s="106">
        <f t="shared" si="0"/>
        <v>343</v>
      </c>
      <c r="D13" s="151"/>
      <c r="E13" s="152"/>
      <c r="F13" s="152"/>
      <c r="G13" s="152"/>
      <c r="H13" s="152"/>
      <c r="I13" s="152"/>
      <c r="J13" s="152"/>
      <c r="K13" s="152"/>
      <c r="L13" s="152"/>
      <c r="M13" s="152" t="s">
        <v>42</v>
      </c>
      <c r="N13" s="152" t="s">
        <v>155</v>
      </c>
      <c r="O13" s="152" t="s">
        <v>151</v>
      </c>
      <c r="P13" s="152" t="s">
        <v>44</v>
      </c>
      <c r="Q13" s="152" t="s">
        <v>36</v>
      </c>
      <c r="R13" s="153" t="s">
        <v>43</v>
      </c>
      <c r="S13" s="154" t="str">
        <f t="shared" si="1"/>
        <v>layqrb</v>
      </c>
      <c r="T13" s="155" t="str">
        <f t="shared" ref="T13:T76" si="3">IF(R13="","",VLOOKUP(R13,$Y$11:$AB$32,4))&amp;IF(Q13="","",VLOOKUP(Q13,$Y$11:$AB$32,4))&amp;IF(P13="","",VLOOKUP(P13,$Y$11:$AB$32,4))&amp;IF(O13="","",VLOOKUP(O13,$Y$11:$AB$32,4))&amp;IF(N13="","",VLOOKUP(N13,$Y$11:$AB$32,4))&amp;IF(M13="","",VLOOKUP(M13,$Y$11:$AB$32,4))&amp;IF(L13="","",VLOOKUP(L13,$Y$11:$AB$32,4))&amp;IF(K13="","",VLOOKUP(K13,$Y$11:$AB$32,4))&amp;IF(J13="","",VLOOKUP(J13,$Y$11:$AB$32,4))&amp;IF(I13="","",VLOOKUP(I13,$Y$11:$AB$32,4))&amp;IF(H13="","",VLOOKUP(H13,$Y$11:$AB$32,4))&amp;IF(G13="","",VLOOKUP(G13,$Y$11:$AB$32,4))&amp;IF(F13="","",VLOOKUP(F13,$Y$11:$AB$32,4))&amp;IF(E13="","",VLOOKUP(E13,$Y$11:$AB$32,4))&amp;IF(D13="","",VLOOKUP(D13,$Y$11:$AB$32,4))</f>
        <v>BRQYAL</v>
      </c>
      <c r="U13" s="156">
        <f t="shared" si="2"/>
        <v>343</v>
      </c>
      <c r="V13" s="157" t="s">
        <v>291</v>
      </c>
      <c r="W13" s="124" t="s">
        <v>35</v>
      </c>
      <c r="X13" s="59"/>
      <c r="Y13" s="119" t="s">
        <v>76</v>
      </c>
      <c r="Z13" s="120">
        <v>60</v>
      </c>
      <c r="AA13" s="120" t="s">
        <v>217</v>
      </c>
      <c r="AB13" s="121" t="s">
        <v>176</v>
      </c>
      <c r="AC13" s="78"/>
    </row>
    <row r="14" spans="2:29" ht="20" customHeight="1">
      <c r="B14" s="77"/>
      <c r="C14" s="105">
        <f t="shared" si="0"/>
        <v>341</v>
      </c>
      <c r="D14" s="143"/>
      <c r="E14" s="144"/>
      <c r="F14" s="144"/>
      <c r="G14" s="144"/>
      <c r="H14" s="144"/>
      <c r="I14" s="144"/>
      <c r="J14" s="144"/>
      <c r="K14" s="144"/>
      <c r="L14" s="144"/>
      <c r="M14" s="144"/>
      <c r="N14" s="144" t="s">
        <v>42</v>
      </c>
      <c r="O14" s="144" t="s">
        <v>155</v>
      </c>
      <c r="P14" s="144" t="s">
        <v>63</v>
      </c>
      <c r="Q14" s="144" t="s">
        <v>41</v>
      </c>
      <c r="R14" s="145" t="s">
        <v>36</v>
      </c>
      <c r="S14" s="146" t="str">
        <f t="shared" si="1"/>
        <v>lamir</v>
      </c>
      <c r="T14" s="147" t="str">
        <f t="shared" si="3"/>
        <v>RAMAL</v>
      </c>
      <c r="U14" s="148">
        <f t="shared" si="2"/>
        <v>341</v>
      </c>
      <c r="V14" s="149" t="s">
        <v>292</v>
      </c>
      <c r="W14" s="121" t="s">
        <v>35</v>
      </c>
      <c r="X14" s="59"/>
      <c r="Y14" s="122" t="s">
        <v>29</v>
      </c>
      <c r="Z14" s="123">
        <v>4</v>
      </c>
      <c r="AA14" s="123" t="s">
        <v>29</v>
      </c>
      <c r="AB14" s="124" t="s">
        <v>177</v>
      </c>
      <c r="AC14" s="78"/>
    </row>
    <row r="15" spans="2:29" ht="20" customHeight="1">
      <c r="B15" s="77"/>
      <c r="C15" s="106">
        <f t="shared" si="0"/>
        <v>303</v>
      </c>
      <c r="D15" s="151"/>
      <c r="E15" s="152"/>
      <c r="F15" s="152"/>
      <c r="G15" s="152"/>
      <c r="H15" s="152"/>
      <c r="I15" s="152"/>
      <c r="J15" s="152"/>
      <c r="K15" s="152"/>
      <c r="L15" s="152"/>
      <c r="M15" s="152" t="s">
        <v>42</v>
      </c>
      <c r="N15" s="152" t="s">
        <v>155</v>
      </c>
      <c r="O15" s="152" t="s">
        <v>151</v>
      </c>
      <c r="P15" s="152" t="s">
        <v>43</v>
      </c>
      <c r="Q15" s="152" t="s">
        <v>36</v>
      </c>
      <c r="R15" s="153" t="s">
        <v>38</v>
      </c>
      <c r="S15" s="154" t="str">
        <f t="shared" si="1"/>
        <v>laybrc</v>
      </c>
      <c r="T15" s="155" t="str">
        <f t="shared" si="3"/>
        <v>SRBYAL</v>
      </c>
      <c r="U15" s="156">
        <f t="shared" si="2"/>
        <v>303</v>
      </c>
      <c r="V15" s="157" t="s">
        <v>293</v>
      </c>
      <c r="W15" s="124" t="s">
        <v>35</v>
      </c>
      <c r="X15" s="59"/>
      <c r="Y15" s="119" t="s">
        <v>27</v>
      </c>
      <c r="Z15" s="120">
        <v>3</v>
      </c>
      <c r="AA15" s="120" t="s">
        <v>27</v>
      </c>
      <c r="AB15" s="121" t="s">
        <v>178</v>
      </c>
      <c r="AC15" s="78"/>
    </row>
    <row r="16" spans="2:29" ht="20" customHeight="1">
      <c r="B16" s="77"/>
      <c r="C16" s="105">
        <f t="shared" si="0"/>
        <v>540</v>
      </c>
      <c r="D16" s="14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 t="s">
        <v>42</v>
      </c>
      <c r="P16" s="144" t="s">
        <v>151</v>
      </c>
      <c r="Q16" s="144" t="s">
        <v>36</v>
      </c>
      <c r="R16" s="145" t="s">
        <v>227</v>
      </c>
      <c r="S16" s="146" t="str">
        <f t="shared" si="1"/>
        <v>lyrs</v>
      </c>
      <c r="T16" s="147" t="str">
        <f t="shared" si="3"/>
        <v>SchRYL</v>
      </c>
      <c r="U16" s="148">
        <f t="shared" si="2"/>
        <v>540</v>
      </c>
      <c r="V16" s="149" t="s">
        <v>294</v>
      </c>
      <c r="W16" s="121" t="s">
        <v>35</v>
      </c>
      <c r="X16" s="59"/>
      <c r="Y16" s="122" t="s">
        <v>31</v>
      </c>
      <c r="Z16" s="123">
        <v>5</v>
      </c>
      <c r="AA16" s="123" t="s">
        <v>31</v>
      </c>
      <c r="AB16" s="124" t="s">
        <v>179</v>
      </c>
      <c r="AC16" s="78"/>
    </row>
    <row r="17" spans="2:29" ht="20" customHeight="1">
      <c r="B17" s="77"/>
      <c r="C17" s="106">
        <f t="shared" si="0"/>
        <v>211</v>
      </c>
      <c r="D17" s="151"/>
      <c r="E17" s="152"/>
      <c r="F17" s="152"/>
      <c r="G17" s="152"/>
      <c r="H17" s="152"/>
      <c r="I17" s="152"/>
      <c r="J17" s="152"/>
      <c r="K17" s="152"/>
      <c r="L17" s="152"/>
      <c r="M17" s="152" t="s">
        <v>42</v>
      </c>
      <c r="N17" s="152" t="s">
        <v>155</v>
      </c>
      <c r="O17" s="152" t="s">
        <v>151</v>
      </c>
      <c r="P17" s="152" t="s">
        <v>45</v>
      </c>
      <c r="Q17" s="152" t="s">
        <v>45</v>
      </c>
      <c r="R17" s="153" t="s">
        <v>41</v>
      </c>
      <c r="S17" s="154" t="str">
        <f t="shared" si="1"/>
        <v>laynni</v>
      </c>
      <c r="T17" s="155" t="str">
        <f t="shared" si="3"/>
        <v>ANNYAL</v>
      </c>
      <c r="U17" s="156">
        <f t="shared" si="2"/>
        <v>211</v>
      </c>
      <c r="V17" s="157" t="s">
        <v>295</v>
      </c>
      <c r="W17" s="124" t="s">
        <v>35</v>
      </c>
      <c r="X17" s="59"/>
      <c r="Y17" s="119" t="s">
        <v>79</v>
      </c>
      <c r="Z17" s="120">
        <v>70</v>
      </c>
      <c r="AA17" s="120" t="s">
        <v>218</v>
      </c>
      <c r="AB17" s="121" t="s">
        <v>174</v>
      </c>
      <c r="AC17" s="78"/>
    </row>
    <row r="18" spans="2:29" ht="20" customHeight="1">
      <c r="B18" s="77"/>
      <c r="C18" s="105">
        <f t="shared" si="0"/>
        <v>176</v>
      </c>
      <c r="D18" s="143"/>
      <c r="E18" s="144"/>
      <c r="F18" s="144"/>
      <c r="G18" s="144"/>
      <c r="H18" s="144"/>
      <c r="I18" s="144"/>
      <c r="J18" s="144"/>
      <c r="K18" s="144"/>
      <c r="L18" s="144"/>
      <c r="M18" s="144" t="s">
        <v>42</v>
      </c>
      <c r="N18" s="144" t="s">
        <v>155</v>
      </c>
      <c r="O18" s="144" t="s">
        <v>151</v>
      </c>
      <c r="P18" s="144" t="s">
        <v>44</v>
      </c>
      <c r="Q18" s="144" t="s">
        <v>141</v>
      </c>
      <c r="R18" s="145" t="s">
        <v>42</v>
      </c>
      <c r="S18" s="146" t="str">
        <f t="shared" si="1"/>
        <v>layqhl</v>
      </c>
      <c r="T18" s="147" t="str">
        <f t="shared" si="3"/>
        <v>LHQYAL</v>
      </c>
      <c r="U18" s="148">
        <f t="shared" si="2"/>
        <v>176</v>
      </c>
      <c r="V18" s="149" t="s">
        <v>296</v>
      </c>
      <c r="W18" s="121" t="s">
        <v>35</v>
      </c>
      <c r="X18" s="59"/>
      <c r="Y18" s="122" t="s">
        <v>85</v>
      </c>
      <c r="Z18" s="123">
        <v>90</v>
      </c>
      <c r="AA18" s="123" t="s">
        <v>220</v>
      </c>
      <c r="AB18" s="124" t="s">
        <v>180</v>
      </c>
      <c r="AC18" s="78"/>
    </row>
    <row r="19" spans="2:29" ht="20" customHeight="1">
      <c r="B19" s="77"/>
      <c r="C19" s="106">
        <f t="shared" si="0"/>
        <v>143</v>
      </c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 t="s">
        <v>42</v>
      </c>
      <c r="O19" s="152" t="s">
        <v>155</v>
      </c>
      <c r="P19" s="152" t="s">
        <v>151</v>
      </c>
      <c r="Q19" s="152" t="s">
        <v>43</v>
      </c>
      <c r="R19" s="153" t="s">
        <v>44</v>
      </c>
      <c r="S19" s="154" t="str">
        <f t="shared" si="1"/>
        <v>laybq</v>
      </c>
      <c r="T19" s="155" t="str">
        <f t="shared" si="3"/>
        <v>QBYAL</v>
      </c>
      <c r="U19" s="156">
        <f t="shared" si="2"/>
        <v>143</v>
      </c>
      <c r="V19" s="157" t="s">
        <v>297</v>
      </c>
      <c r="W19" s="124" t="s">
        <v>60</v>
      </c>
      <c r="X19" s="59"/>
      <c r="Y19" s="119" t="s">
        <v>68</v>
      </c>
      <c r="Z19" s="120">
        <v>20</v>
      </c>
      <c r="AA19" s="120" t="s">
        <v>68</v>
      </c>
      <c r="AB19" s="121" t="s">
        <v>181</v>
      </c>
      <c r="AC19" s="78"/>
    </row>
    <row r="20" spans="2:29" ht="20" customHeight="1">
      <c r="B20" s="77"/>
      <c r="C20" s="105">
        <f t="shared" si="0"/>
        <v>183</v>
      </c>
      <c r="D20" s="143"/>
      <c r="E20" s="144"/>
      <c r="F20" s="144"/>
      <c r="G20" s="144"/>
      <c r="H20" s="144"/>
      <c r="I20" s="144"/>
      <c r="J20" s="144"/>
      <c r="K20" s="144"/>
      <c r="L20" s="144"/>
      <c r="M20" s="144"/>
      <c r="N20" s="144" t="s">
        <v>42</v>
      </c>
      <c r="O20" s="144" t="s">
        <v>155</v>
      </c>
      <c r="P20" s="144" t="s">
        <v>43</v>
      </c>
      <c r="Q20" s="144" t="s">
        <v>45</v>
      </c>
      <c r="R20" s="145" t="s">
        <v>44</v>
      </c>
      <c r="S20" s="146" t="str">
        <f t="shared" si="1"/>
        <v>labnq</v>
      </c>
      <c r="T20" s="147" t="str">
        <f t="shared" si="3"/>
        <v>QNBAL</v>
      </c>
      <c r="U20" s="148">
        <f t="shared" si="2"/>
        <v>183</v>
      </c>
      <c r="V20" s="149" t="s">
        <v>298</v>
      </c>
      <c r="W20" s="121" t="s">
        <v>60</v>
      </c>
      <c r="X20" s="59"/>
      <c r="Y20" s="122" t="s">
        <v>70</v>
      </c>
      <c r="Z20" s="123">
        <v>30</v>
      </c>
      <c r="AA20" s="123" t="s">
        <v>70</v>
      </c>
      <c r="AB20" s="124" t="s">
        <v>182</v>
      </c>
      <c r="AC20" s="78"/>
    </row>
    <row r="21" spans="2:29" ht="20" customHeight="1">
      <c r="B21" s="77"/>
      <c r="C21" s="106">
        <f t="shared" si="0"/>
        <v>305</v>
      </c>
      <c r="D21" s="151"/>
      <c r="E21" s="152"/>
      <c r="F21" s="152"/>
      <c r="G21" s="152"/>
      <c r="H21" s="152"/>
      <c r="I21" s="152"/>
      <c r="J21" s="152"/>
      <c r="K21" s="152"/>
      <c r="L21" s="152"/>
      <c r="M21" s="152" t="s">
        <v>42</v>
      </c>
      <c r="N21" s="152" t="s">
        <v>155</v>
      </c>
      <c r="O21" s="152" t="s">
        <v>151</v>
      </c>
      <c r="P21" s="152" t="s">
        <v>36</v>
      </c>
      <c r="Q21" s="152" t="s">
        <v>46</v>
      </c>
      <c r="R21" s="153" t="s">
        <v>38</v>
      </c>
      <c r="S21" s="154" t="str">
        <f t="shared" si="1"/>
        <v>layrdc</v>
      </c>
      <c r="T21" s="155" t="str">
        <f t="shared" si="3"/>
        <v>SDRYAL</v>
      </c>
      <c r="U21" s="156">
        <f t="shared" si="2"/>
        <v>305</v>
      </c>
      <c r="V21" s="157" t="s">
        <v>299</v>
      </c>
      <c r="W21" s="124" t="s">
        <v>60</v>
      </c>
      <c r="X21" s="59"/>
      <c r="Y21" s="119" t="s">
        <v>72</v>
      </c>
      <c r="Z21" s="120">
        <v>40</v>
      </c>
      <c r="AA21" s="120" t="s">
        <v>72</v>
      </c>
      <c r="AB21" s="121" t="s">
        <v>183</v>
      </c>
      <c r="AC21" s="78"/>
    </row>
    <row r="22" spans="2:29" ht="20" customHeight="1">
      <c r="B22" s="77"/>
      <c r="C22" s="105">
        <f t="shared" si="0"/>
        <v>161</v>
      </c>
      <c r="D22" s="143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 t="s">
        <v>42</v>
      </c>
      <c r="P22" s="144" t="s">
        <v>155</v>
      </c>
      <c r="Q22" s="144" t="s">
        <v>45</v>
      </c>
      <c r="R22" s="145" t="s">
        <v>47</v>
      </c>
      <c r="S22" s="146" t="str">
        <f t="shared" si="1"/>
        <v>lanp</v>
      </c>
      <c r="T22" s="147" t="str">
        <f t="shared" si="3"/>
        <v>PNAL</v>
      </c>
      <c r="U22" s="148">
        <f t="shared" si="2"/>
        <v>161</v>
      </c>
      <c r="V22" s="149" t="s">
        <v>300</v>
      </c>
      <c r="W22" s="121" t="s">
        <v>60</v>
      </c>
      <c r="X22" s="59"/>
      <c r="Y22" s="122" t="s">
        <v>74</v>
      </c>
      <c r="Z22" s="123">
        <v>50</v>
      </c>
      <c r="AA22" s="123" t="s">
        <v>74</v>
      </c>
      <c r="AB22" s="124" t="s">
        <v>184</v>
      </c>
      <c r="AC22" s="78"/>
    </row>
    <row r="23" spans="2:29" ht="20" customHeight="1">
      <c r="B23" s="77"/>
      <c r="C23" s="106">
        <f t="shared" si="0"/>
        <v>541</v>
      </c>
      <c r="D23" s="151"/>
      <c r="E23" s="152"/>
      <c r="F23" s="152"/>
      <c r="G23" s="152"/>
      <c r="H23" s="152"/>
      <c r="I23" s="152"/>
      <c r="J23" s="152"/>
      <c r="K23" s="152"/>
      <c r="L23" s="152"/>
      <c r="M23" s="152"/>
      <c r="N23" s="152" t="s">
        <v>42</v>
      </c>
      <c r="O23" s="152" t="s">
        <v>155</v>
      </c>
      <c r="P23" s="152" t="s">
        <v>151</v>
      </c>
      <c r="Q23" s="152" t="s">
        <v>36</v>
      </c>
      <c r="R23" s="153" t="s">
        <v>227</v>
      </c>
      <c r="S23" s="154" t="str">
        <f t="shared" si="1"/>
        <v>layrs</v>
      </c>
      <c r="T23" s="155" t="str">
        <f t="shared" si="3"/>
        <v>SchRYAL</v>
      </c>
      <c r="U23" s="156">
        <f t="shared" si="2"/>
        <v>541</v>
      </c>
      <c r="V23" s="157"/>
      <c r="W23" s="124" t="s">
        <v>60</v>
      </c>
      <c r="X23" s="59"/>
      <c r="Y23" s="119" t="s">
        <v>82</v>
      </c>
      <c r="Z23" s="120">
        <v>80</v>
      </c>
      <c r="AA23" s="120" t="s">
        <v>219</v>
      </c>
      <c r="AB23" s="121" t="s">
        <v>185</v>
      </c>
      <c r="AC23" s="78"/>
    </row>
    <row r="24" spans="2:29" ht="20" customHeight="1">
      <c r="B24" s="77"/>
      <c r="C24" s="105">
        <f t="shared" si="0"/>
        <v>153</v>
      </c>
      <c r="D24" s="143"/>
      <c r="E24" s="144"/>
      <c r="F24" s="144"/>
      <c r="G24" s="144"/>
      <c r="H24" s="144"/>
      <c r="I24" s="144"/>
      <c r="J24" s="144"/>
      <c r="K24" s="144"/>
      <c r="L24" s="144"/>
      <c r="M24" s="144" t="s">
        <v>42</v>
      </c>
      <c r="N24" s="144" t="s">
        <v>155</v>
      </c>
      <c r="O24" s="144" t="s">
        <v>151</v>
      </c>
      <c r="P24" s="144" t="s">
        <v>43</v>
      </c>
      <c r="Q24" s="144" t="s">
        <v>45</v>
      </c>
      <c r="R24" s="145" t="s">
        <v>38</v>
      </c>
      <c r="S24" s="146" t="str">
        <f t="shared" si="1"/>
        <v>laybnc</v>
      </c>
      <c r="T24" s="147" t="str">
        <f t="shared" si="3"/>
        <v>SNBYAL</v>
      </c>
      <c r="U24" s="148">
        <f t="shared" si="2"/>
        <v>153</v>
      </c>
      <c r="V24" s="149" t="s">
        <v>301</v>
      </c>
      <c r="W24" s="121" t="s">
        <v>60</v>
      </c>
      <c r="X24" s="59"/>
      <c r="Y24" s="122" t="s">
        <v>88</v>
      </c>
      <c r="Z24" s="123">
        <v>100</v>
      </c>
      <c r="AA24" s="123" t="s">
        <v>221</v>
      </c>
      <c r="AB24" s="124" t="s">
        <v>186</v>
      </c>
      <c r="AC24" s="78"/>
    </row>
    <row r="25" spans="2:29" ht="20" customHeight="1">
      <c r="B25" s="77"/>
      <c r="C25" s="106">
        <f t="shared" si="0"/>
        <v>137</v>
      </c>
      <c r="D25" s="151"/>
      <c r="E25" s="152"/>
      <c r="F25" s="152"/>
      <c r="G25" s="152"/>
      <c r="H25" s="152"/>
      <c r="I25" s="152"/>
      <c r="J25" s="152"/>
      <c r="K25" s="152"/>
      <c r="L25" s="152"/>
      <c r="M25" s="152" t="s">
        <v>42</v>
      </c>
      <c r="N25" s="152" t="s">
        <v>155</v>
      </c>
      <c r="O25" s="152" t="s">
        <v>151</v>
      </c>
      <c r="P25" s="152" t="s">
        <v>47</v>
      </c>
      <c r="Q25" s="152" t="s">
        <v>62</v>
      </c>
      <c r="R25" s="153" t="s">
        <v>151</v>
      </c>
      <c r="S25" s="154" t="str">
        <f t="shared" si="1"/>
        <v>laypvy</v>
      </c>
      <c r="T25" s="155" t="str">
        <f t="shared" si="3"/>
        <v>YVPYAL</v>
      </c>
      <c r="U25" s="156">
        <f t="shared" si="2"/>
        <v>137</v>
      </c>
      <c r="V25" s="157" t="s">
        <v>302</v>
      </c>
      <c r="W25" s="124" t="s">
        <v>60</v>
      </c>
      <c r="X25" s="59"/>
      <c r="Y25" s="119" t="s">
        <v>91</v>
      </c>
      <c r="Z25" s="120">
        <v>200</v>
      </c>
      <c r="AA25" s="120" t="s">
        <v>91</v>
      </c>
      <c r="AB25" s="121" t="s">
        <v>187</v>
      </c>
      <c r="AC25" s="78"/>
    </row>
    <row r="26" spans="2:29" ht="20" customHeight="1">
      <c r="B26" s="77"/>
      <c r="C26" s="105">
        <f t="shared" si="0"/>
        <v>324</v>
      </c>
      <c r="D26" s="143"/>
      <c r="E26" s="144"/>
      <c r="F26" s="144"/>
      <c r="G26" s="144"/>
      <c r="H26" s="144"/>
      <c r="I26" s="144"/>
      <c r="J26" s="144"/>
      <c r="K26" s="144"/>
      <c r="L26" s="144"/>
      <c r="M26" s="144" t="s">
        <v>42</v>
      </c>
      <c r="N26" s="144" t="s">
        <v>155</v>
      </c>
      <c r="O26" s="144" t="s">
        <v>151</v>
      </c>
      <c r="P26" s="144" t="s">
        <v>303</v>
      </c>
      <c r="Q26" s="144" t="s">
        <v>36</v>
      </c>
      <c r="R26" s="145" t="s">
        <v>47</v>
      </c>
      <c r="S26" s="146" t="str">
        <f t="shared" si="1"/>
        <v>laygrp</v>
      </c>
      <c r="T26" s="147" t="str">
        <f t="shared" si="3"/>
        <v>PRGYAL</v>
      </c>
      <c r="U26" s="148">
        <f t="shared" si="2"/>
        <v>324</v>
      </c>
      <c r="V26" s="149" t="s">
        <v>304</v>
      </c>
      <c r="W26" s="121" t="s">
        <v>60</v>
      </c>
      <c r="X26" s="59"/>
      <c r="Y26" s="122" t="s">
        <v>93</v>
      </c>
      <c r="Z26" s="123">
        <v>300</v>
      </c>
      <c r="AA26" s="123" t="s">
        <v>222</v>
      </c>
      <c r="AB26" s="124" t="s">
        <v>188</v>
      </c>
      <c r="AC26" s="78"/>
    </row>
    <row r="27" spans="2:29" ht="20" customHeight="1">
      <c r="B27" s="77"/>
      <c r="C27" s="106">
        <f>U27</f>
        <v>17</v>
      </c>
      <c r="D27" s="151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 t="s">
        <v>62</v>
      </c>
      <c r="Q27" s="152" t="s">
        <v>155</v>
      </c>
      <c r="R27" s="153" t="s">
        <v>151</v>
      </c>
      <c r="S27" s="154" t="str">
        <f t="shared" si="1"/>
        <v>vay</v>
      </c>
      <c r="T27" s="155" t="str">
        <f t="shared" si="3"/>
        <v>YAV</v>
      </c>
      <c r="U27" s="156">
        <f t="shared" si="2"/>
        <v>17</v>
      </c>
      <c r="V27" s="157" t="s">
        <v>310</v>
      </c>
      <c r="W27" s="124" t="s">
        <v>311</v>
      </c>
      <c r="X27" s="59"/>
      <c r="Y27" s="119" t="s">
        <v>95</v>
      </c>
      <c r="Z27" s="120">
        <v>400</v>
      </c>
      <c r="AA27" s="120" t="s">
        <v>189</v>
      </c>
      <c r="AB27" s="121" t="s">
        <v>189</v>
      </c>
      <c r="AC27" s="78"/>
    </row>
    <row r="28" spans="2:29" ht="20" customHeight="1">
      <c r="B28" s="77"/>
      <c r="C28" s="105">
        <f t="shared" si="0"/>
        <v>303</v>
      </c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 t="s">
        <v>227</v>
      </c>
      <c r="Q28" s="144" t="s">
        <v>155</v>
      </c>
      <c r="R28" s="145" t="s">
        <v>154</v>
      </c>
      <c r="S28" s="146" t="str">
        <f t="shared" si="1"/>
        <v>sab</v>
      </c>
      <c r="T28" s="147" t="str">
        <f t="shared" si="3"/>
        <v>BASch</v>
      </c>
      <c r="U28" s="148">
        <f t="shared" si="2"/>
        <v>303</v>
      </c>
      <c r="V28" s="149"/>
      <c r="W28" s="121" t="s">
        <v>314</v>
      </c>
      <c r="X28" s="59"/>
      <c r="Y28" s="122" t="s">
        <v>261</v>
      </c>
      <c r="Z28" s="123">
        <v>9</v>
      </c>
      <c r="AA28" s="123" t="s">
        <v>95</v>
      </c>
      <c r="AB28" s="124" t="s">
        <v>190</v>
      </c>
      <c r="AC28" s="78"/>
    </row>
    <row r="29" spans="2:29" ht="20" customHeight="1">
      <c r="B29" s="77"/>
      <c r="C29" s="106">
        <f t="shared" si="0"/>
        <v>66</v>
      </c>
      <c r="D29" s="151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 t="s">
        <v>46</v>
      </c>
      <c r="Q29" s="152" t="s">
        <v>38</v>
      </c>
      <c r="R29" s="153" t="s">
        <v>43</v>
      </c>
      <c r="S29" s="154" t="str">
        <f t="shared" si="1"/>
        <v>dcb</v>
      </c>
      <c r="T29" s="155" t="str">
        <f t="shared" si="3"/>
        <v>BSD</v>
      </c>
      <c r="U29" s="156">
        <f t="shared" si="2"/>
        <v>66</v>
      </c>
      <c r="V29" s="157"/>
      <c r="W29" s="124" t="s">
        <v>315</v>
      </c>
      <c r="X29" s="59"/>
      <c r="Y29" s="119" t="s">
        <v>33</v>
      </c>
      <c r="Z29" s="120">
        <v>6</v>
      </c>
      <c r="AA29" s="120" t="s">
        <v>213</v>
      </c>
      <c r="AB29" s="121" t="s">
        <v>191</v>
      </c>
      <c r="AC29" s="78"/>
    </row>
    <row r="30" spans="2:29" ht="20" customHeight="1">
      <c r="B30" s="77"/>
      <c r="C30" s="105">
        <f t="shared" si="0"/>
        <v>153</v>
      </c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 t="s">
        <v>49</v>
      </c>
      <c r="O30" s="144" t="s">
        <v>151</v>
      </c>
      <c r="P30" s="144" t="s">
        <v>155</v>
      </c>
      <c r="Q30" s="144" t="s">
        <v>43</v>
      </c>
      <c r="R30" s="145" t="s">
        <v>312</v>
      </c>
      <c r="S30" s="146" t="str">
        <f t="shared" si="1"/>
        <v>nyabj</v>
      </c>
      <c r="T30" s="147" t="str">
        <f t="shared" si="3"/>
        <v>TsBAYN</v>
      </c>
      <c r="U30" s="148">
        <f t="shared" si="2"/>
        <v>153</v>
      </c>
      <c r="V30" s="149"/>
      <c r="W30" s="121" t="s">
        <v>316</v>
      </c>
      <c r="X30" s="59"/>
      <c r="Y30" s="122" t="s">
        <v>259</v>
      </c>
      <c r="Z30" s="123">
        <v>8</v>
      </c>
      <c r="AA30" s="123" t="s">
        <v>215</v>
      </c>
      <c r="AB30" s="124" t="s">
        <v>192</v>
      </c>
      <c r="AC30" s="78"/>
    </row>
    <row r="31" spans="2:29" ht="20" customHeight="1">
      <c r="B31" s="77"/>
      <c r="C31" s="106">
        <f t="shared" si="0"/>
        <v>15</v>
      </c>
      <c r="D31" s="151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 t="s">
        <v>225</v>
      </c>
      <c r="R31" s="153" t="s">
        <v>151</v>
      </c>
      <c r="S31" s="154" t="str">
        <f t="shared" si="1"/>
        <v>hy</v>
      </c>
      <c r="T31" s="155" t="str">
        <f t="shared" si="3"/>
        <v>YH</v>
      </c>
      <c r="U31" s="156">
        <f t="shared" si="2"/>
        <v>15</v>
      </c>
      <c r="V31" s="157" t="s">
        <v>310</v>
      </c>
      <c r="W31" s="124" t="s">
        <v>316</v>
      </c>
      <c r="X31" s="59"/>
      <c r="Y31" s="119" t="s">
        <v>65</v>
      </c>
      <c r="Z31" s="120">
        <v>10</v>
      </c>
      <c r="AA31" s="120" t="s">
        <v>216</v>
      </c>
      <c r="AB31" s="121" t="s">
        <v>193</v>
      </c>
      <c r="AC31" s="78"/>
    </row>
    <row r="32" spans="2:29" ht="20" customHeight="1" thickBot="1">
      <c r="B32" s="77"/>
      <c r="C32" s="105">
        <f t="shared" si="0"/>
        <v>44</v>
      </c>
      <c r="D32" s="143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 t="s">
        <v>319</v>
      </c>
      <c r="Q32" s="144" t="s">
        <v>318</v>
      </c>
      <c r="R32" s="145" t="s">
        <v>317</v>
      </c>
      <c r="S32" s="146" t="str">
        <f t="shared" si="1"/>
        <v>ulh</v>
      </c>
      <c r="T32" s="147" t="str">
        <f t="shared" si="3"/>
        <v>HLT</v>
      </c>
      <c r="U32" s="148">
        <f t="shared" si="2"/>
        <v>44</v>
      </c>
      <c r="V32" s="149"/>
      <c r="W32" s="121" t="s">
        <v>321</v>
      </c>
      <c r="X32" s="59"/>
      <c r="Y32" s="125" t="s">
        <v>256</v>
      </c>
      <c r="Z32" s="126">
        <v>7</v>
      </c>
      <c r="AA32" s="126" t="s">
        <v>214</v>
      </c>
      <c r="AB32" s="127" t="s">
        <v>194</v>
      </c>
      <c r="AC32" s="78"/>
    </row>
    <row r="33" spans="2:29" ht="20" customHeight="1">
      <c r="B33" s="77"/>
      <c r="C33" s="106">
        <f t="shared" si="0"/>
        <v>430</v>
      </c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 t="s">
        <v>313</v>
      </c>
      <c r="R33" s="153" t="s">
        <v>42</v>
      </c>
      <c r="S33" s="154" t="str">
        <f t="shared" si="1"/>
        <v>tl</v>
      </c>
      <c r="T33" s="155" t="str">
        <f t="shared" si="3"/>
        <v>LTh</v>
      </c>
      <c r="U33" s="156">
        <f t="shared" si="2"/>
        <v>430</v>
      </c>
      <c r="V33" s="157"/>
      <c r="W33" s="124" t="s">
        <v>322</v>
      </c>
      <c r="X33" s="59"/>
      <c r="Y33" s="59"/>
      <c r="Z33" s="59"/>
      <c r="AA33" s="59"/>
      <c r="AB33" s="59"/>
      <c r="AC33" s="78"/>
    </row>
    <row r="34" spans="2:29" ht="20" customHeight="1">
      <c r="B34" s="77"/>
      <c r="C34" s="105">
        <f t="shared" si="0"/>
        <v>31</v>
      </c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 t="s">
        <v>141</v>
      </c>
      <c r="O34" s="144" t="s">
        <v>138</v>
      </c>
      <c r="P34" s="144" t="s">
        <v>61</v>
      </c>
      <c r="Q34" s="144" t="s">
        <v>323</v>
      </c>
      <c r="R34" s="145" t="s">
        <v>61</v>
      </c>
      <c r="S34" s="146" t="str">
        <f t="shared" si="1"/>
        <v>hvubu</v>
      </c>
      <c r="T34" s="147" t="str">
        <f t="shared" si="3"/>
        <v>TBTVH</v>
      </c>
      <c r="U34" s="148">
        <f t="shared" si="2"/>
        <v>31</v>
      </c>
      <c r="V34" s="149"/>
      <c r="W34" s="121" t="s">
        <v>325</v>
      </c>
      <c r="X34" s="59"/>
      <c r="Y34" s="59"/>
      <c r="Z34" s="59"/>
      <c r="AA34" s="59"/>
      <c r="AB34" s="59"/>
      <c r="AC34" s="78"/>
    </row>
    <row r="35" spans="2:29" ht="20" customHeight="1">
      <c r="B35" s="77"/>
      <c r="C35" s="106">
        <f t="shared" si="0"/>
        <v>41</v>
      </c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 t="s">
        <v>61</v>
      </c>
      <c r="Q35" s="152" t="s">
        <v>324</v>
      </c>
      <c r="R35" s="153" t="s">
        <v>42</v>
      </c>
      <c r="S35" s="154" t="str">
        <f t="shared" si="1"/>
        <v>ubl</v>
      </c>
      <c r="T35" s="155" t="str">
        <f t="shared" si="3"/>
        <v>LBT</v>
      </c>
      <c r="U35" s="156">
        <f t="shared" si="2"/>
        <v>41</v>
      </c>
      <c r="V35" s="157"/>
      <c r="W35" s="124" t="s">
        <v>325</v>
      </c>
      <c r="X35" s="59"/>
      <c r="Y35" s="59"/>
      <c r="Z35" s="59"/>
      <c r="AA35" s="59"/>
      <c r="AB35" s="59"/>
      <c r="AC35" s="78"/>
    </row>
    <row r="36" spans="2:29" ht="20" customHeight="1">
      <c r="B36" s="77"/>
      <c r="C36" s="105">
        <f t="shared" si="0"/>
        <v>241</v>
      </c>
      <c r="D36" s="143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 t="s">
        <v>36</v>
      </c>
      <c r="P36" s="144" t="s">
        <v>61</v>
      </c>
      <c r="Q36" s="144" t="s">
        <v>43</v>
      </c>
      <c r="R36" s="145" t="s">
        <v>42</v>
      </c>
      <c r="S36" s="146" t="str">
        <f t="shared" si="1"/>
        <v>rubl</v>
      </c>
      <c r="T36" s="147" t="str">
        <f t="shared" si="3"/>
        <v>LBTR</v>
      </c>
      <c r="U36" s="148">
        <f t="shared" si="2"/>
        <v>241</v>
      </c>
      <c r="V36" s="149"/>
      <c r="W36" s="121" t="s">
        <v>322</v>
      </c>
      <c r="X36" s="59"/>
      <c r="Y36" s="59"/>
      <c r="Z36" s="59"/>
      <c r="AA36" s="59"/>
      <c r="AB36" s="59"/>
      <c r="AC36" s="78"/>
    </row>
    <row r="37" spans="2:29" ht="20" customHeight="1">
      <c r="B37" s="77"/>
      <c r="C37" s="106">
        <f t="shared" si="0"/>
        <v>281</v>
      </c>
      <c r="D37" s="151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 t="s">
        <v>327</v>
      </c>
      <c r="P37" s="152" t="s">
        <v>37</v>
      </c>
      <c r="Q37" s="152" t="s">
        <v>326</v>
      </c>
      <c r="R37" s="153" t="s">
        <v>223</v>
      </c>
      <c r="S37" s="154" t="str">
        <f t="shared" si="1"/>
        <v>yira</v>
      </c>
      <c r="T37" s="155" t="str">
        <f t="shared" si="3"/>
        <v>ARAY</v>
      </c>
      <c r="U37" s="156">
        <f t="shared" si="2"/>
        <v>281</v>
      </c>
      <c r="V37" s="157"/>
      <c r="W37" s="124" t="s">
        <v>322</v>
      </c>
      <c r="X37" s="59"/>
      <c r="Y37" s="59"/>
      <c r="Z37" s="59"/>
      <c r="AA37" s="59"/>
      <c r="AB37" s="59"/>
      <c r="AC37" s="78"/>
    </row>
    <row r="38" spans="2:29" ht="20" customHeight="1">
      <c r="B38" s="77"/>
      <c r="C38" s="105">
        <f t="shared" si="0"/>
        <v>49</v>
      </c>
      <c r="D38" s="143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 t="s">
        <v>328</v>
      </c>
      <c r="R38" s="145" t="s">
        <v>63</v>
      </c>
      <c r="S38" s="146" t="str">
        <f t="shared" si="1"/>
        <v>um</v>
      </c>
      <c r="T38" s="147" t="str">
        <f t="shared" si="3"/>
        <v>MT</v>
      </c>
      <c r="U38" s="148">
        <f t="shared" si="2"/>
        <v>49</v>
      </c>
      <c r="V38" s="149"/>
      <c r="W38" s="121" t="s">
        <v>322</v>
      </c>
      <c r="X38" s="59"/>
      <c r="Y38" s="59"/>
      <c r="Z38" s="59"/>
      <c r="AA38" s="59"/>
      <c r="AB38" s="59"/>
      <c r="AC38" s="78"/>
    </row>
    <row r="39" spans="2:29" ht="20" customHeight="1">
      <c r="B39" s="77"/>
      <c r="C39" s="106">
        <f t="shared" si="0"/>
        <v>45</v>
      </c>
      <c r="D39" s="151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 t="s">
        <v>63</v>
      </c>
      <c r="Q39" s="152" t="s">
        <v>46</v>
      </c>
      <c r="R39" s="153" t="s">
        <v>329</v>
      </c>
      <c r="S39" s="154" t="str">
        <f t="shared" si="1"/>
        <v>mda</v>
      </c>
      <c r="T39" s="155" t="str">
        <f t="shared" si="3"/>
        <v>ADM</v>
      </c>
      <c r="U39" s="156">
        <f t="shared" si="2"/>
        <v>45</v>
      </c>
      <c r="V39" s="157"/>
      <c r="W39" s="124" t="s">
        <v>322</v>
      </c>
      <c r="X39" s="59"/>
      <c r="Y39" s="59"/>
      <c r="Z39" s="59"/>
      <c r="AA39" s="59"/>
      <c r="AB39" s="59"/>
      <c r="AC39" s="78"/>
    </row>
    <row r="40" spans="2:29" ht="20" customHeight="1">
      <c r="B40" s="77"/>
      <c r="C40" s="105">
        <f t="shared" si="0"/>
        <v>59</v>
      </c>
      <c r="D40" s="143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 t="s">
        <v>61</v>
      </c>
      <c r="Q40" s="144" t="s">
        <v>330</v>
      </c>
      <c r="R40" s="145" t="s">
        <v>151</v>
      </c>
      <c r="S40" s="146" t="str">
        <f t="shared" si="1"/>
        <v>umy</v>
      </c>
      <c r="T40" s="147" t="str">
        <f t="shared" si="3"/>
        <v>YMT</v>
      </c>
      <c r="U40" s="148">
        <f t="shared" si="2"/>
        <v>59</v>
      </c>
      <c r="V40" s="149"/>
      <c r="W40" s="121" t="s">
        <v>322</v>
      </c>
      <c r="X40" s="59"/>
      <c r="Y40" s="59"/>
      <c r="Z40" s="59"/>
      <c r="AA40" s="59"/>
      <c r="AB40" s="59"/>
      <c r="AC40" s="78"/>
    </row>
    <row r="41" spans="2:29" ht="20" customHeight="1">
      <c r="B41" s="77"/>
      <c r="C41" s="106">
        <f t="shared" si="0"/>
        <v>34</v>
      </c>
      <c r="D41" s="151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 t="s">
        <v>333</v>
      </c>
      <c r="P41" s="152" t="s">
        <v>332</v>
      </c>
      <c r="Q41" s="152" t="s">
        <v>332</v>
      </c>
      <c r="R41" s="153" t="s">
        <v>331</v>
      </c>
      <c r="S41" s="154" t="str">
        <f t="shared" si="1"/>
        <v>hyyu</v>
      </c>
      <c r="T41" s="155" t="str">
        <f t="shared" si="3"/>
        <v>TYYH</v>
      </c>
      <c r="U41" s="156">
        <f t="shared" si="2"/>
        <v>34</v>
      </c>
      <c r="V41" s="157"/>
      <c r="W41" s="124" t="s">
        <v>322</v>
      </c>
      <c r="X41" s="59"/>
      <c r="Y41" s="59"/>
      <c r="Z41" s="59"/>
      <c r="AA41" s="59"/>
      <c r="AB41" s="59"/>
      <c r="AC41" s="78"/>
    </row>
    <row r="42" spans="2:29" ht="20" customHeight="1">
      <c r="B42" s="77"/>
      <c r="C42" s="105">
        <f t="shared" si="0"/>
        <v>61</v>
      </c>
      <c r="D42" s="143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 t="s">
        <v>151</v>
      </c>
      <c r="Q42" s="144" t="s">
        <v>48</v>
      </c>
      <c r="R42" s="145" t="s">
        <v>155</v>
      </c>
      <c r="S42" s="146" t="str">
        <f t="shared" si="1"/>
        <v>yna</v>
      </c>
      <c r="T42" s="147" t="str">
        <f t="shared" si="3"/>
        <v>ANY</v>
      </c>
      <c r="U42" s="148">
        <f t="shared" si="2"/>
        <v>61</v>
      </c>
      <c r="V42" s="149"/>
      <c r="W42" s="121" t="s">
        <v>322</v>
      </c>
      <c r="X42" s="59"/>
      <c r="Y42" s="59"/>
      <c r="Z42" s="59"/>
      <c r="AA42" s="59"/>
      <c r="AB42" s="59"/>
      <c r="AC42" s="78"/>
    </row>
    <row r="43" spans="2:29" ht="20" customHeight="1">
      <c r="B43" s="77"/>
      <c r="C43" s="106">
        <f t="shared" si="0"/>
        <v>325</v>
      </c>
      <c r="D43" s="151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 t="s">
        <v>141</v>
      </c>
      <c r="P43" s="152" t="s">
        <v>153</v>
      </c>
      <c r="Q43" s="152" t="s">
        <v>327</v>
      </c>
      <c r="R43" s="153" t="s">
        <v>227</v>
      </c>
      <c r="S43" s="154" t="str">
        <f t="shared" si="1"/>
        <v>hyys</v>
      </c>
      <c r="T43" s="155" t="str">
        <f t="shared" si="3"/>
        <v>SchYYH</v>
      </c>
      <c r="U43" s="156">
        <f t="shared" si="2"/>
        <v>325</v>
      </c>
      <c r="V43" s="157"/>
      <c r="W43" s="124" t="s">
        <v>322</v>
      </c>
      <c r="X43" s="59"/>
      <c r="Y43" s="59"/>
      <c r="Z43" s="59"/>
      <c r="AA43" s="59"/>
      <c r="AB43" s="59"/>
      <c r="AC43" s="78"/>
    </row>
    <row r="44" spans="2:29" ht="20" customHeight="1">
      <c r="B44" s="77"/>
      <c r="C44" s="105">
        <f t="shared" si="0"/>
        <v>170</v>
      </c>
      <c r="D44" s="143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 t="s">
        <v>335</v>
      </c>
      <c r="P44" s="144" t="s">
        <v>48</v>
      </c>
      <c r="Q44" s="144" t="s">
        <v>334</v>
      </c>
      <c r="R44" s="145" t="s">
        <v>42</v>
      </c>
      <c r="S44" s="146" t="str">
        <f t="shared" si="1"/>
        <v>ynpl</v>
      </c>
      <c r="T44" s="147" t="str">
        <f t="shared" si="3"/>
        <v>LPNY</v>
      </c>
      <c r="U44" s="148">
        <f t="shared" si="2"/>
        <v>170</v>
      </c>
      <c r="V44" s="149"/>
      <c r="W44" s="121" t="s">
        <v>322</v>
      </c>
      <c r="X44" s="59"/>
      <c r="Y44" s="59"/>
      <c r="Z44" s="59"/>
      <c r="AA44" s="59"/>
      <c r="AB44" s="59"/>
      <c r="AC44" s="78"/>
    </row>
    <row r="45" spans="2:29" ht="20" customHeight="1">
      <c r="B45" s="77"/>
      <c r="C45" s="106">
        <f t="shared" si="0"/>
        <v>59</v>
      </c>
      <c r="D45" s="151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 t="s">
        <v>337</v>
      </c>
      <c r="P45" s="152" t="s">
        <v>138</v>
      </c>
      <c r="Q45" s="152" t="s">
        <v>336</v>
      </c>
      <c r="R45" s="153" t="s">
        <v>46</v>
      </c>
      <c r="S45" s="154" t="str">
        <f t="shared" si="1"/>
        <v>mvud</v>
      </c>
      <c r="T45" s="155" t="str">
        <f t="shared" si="3"/>
        <v>DTVM</v>
      </c>
      <c r="U45" s="156">
        <f t="shared" si="2"/>
        <v>59</v>
      </c>
      <c r="V45" s="157"/>
      <c r="W45" s="124" t="s">
        <v>322</v>
      </c>
      <c r="X45" s="59"/>
      <c r="Y45" s="59"/>
      <c r="Z45" s="59"/>
      <c r="AA45" s="59"/>
      <c r="AB45" s="59"/>
      <c r="AC45" s="78"/>
    </row>
    <row r="46" spans="2:29" ht="20" customHeight="1">
      <c r="B46" s="77"/>
      <c r="C46" s="105">
        <f t="shared" si="0"/>
        <v>265</v>
      </c>
      <c r="D46" s="143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 t="s">
        <v>338</v>
      </c>
      <c r="P46" s="144" t="s">
        <v>138</v>
      </c>
      <c r="Q46" s="144" t="s">
        <v>336</v>
      </c>
      <c r="R46" s="145" t="s">
        <v>36</v>
      </c>
      <c r="S46" s="146" t="str">
        <f t="shared" si="1"/>
        <v>nvur</v>
      </c>
      <c r="T46" s="147" t="str">
        <f t="shared" si="3"/>
        <v>RTVN</v>
      </c>
      <c r="U46" s="148">
        <f t="shared" si="2"/>
        <v>265</v>
      </c>
      <c r="V46" s="149"/>
      <c r="W46" s="121" t="s">
        <v>322</v>
      </c>
      <c r="X46" s="59"/>
      <c r="Y46" s="59"/>
      <c r="Z46" s="59"/>
      <c r="AA46" s="59"/>
      <c r="AB46" s="59"/>
      <c r="AC46" s="78"/>
    </row>
    <row r="47" spans="2:29" ht="20" customHeight="1">
      <c r="B47" s="77"/>
      <c r="C47" s="106">
        <f t="shared" si="0"/>
        <v>275</v>
      </c>
      <c r="D47" s="151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 t="s">
        <v>340</v>
      </c>
      <c r="P47" s="152" t="s">
        <v>62</v>
      </c>
      <c r="Q47" s="152" t="s">
        <v>339</v>
      </c>
      <c r="R47" s="153" t="s">
        <v>36</v>
      </c>
      <c r="S47" s="154" t="str">
        <f t="shared" si="1"/>
        <v>cvur</v>
      </c>
      <c r="T47" s="155" t="str">
        <f t="shared" si="3"/>
        <v>RTVS</v>
      </c>
      <c r="U47" s="156">
        <f t="shared" si="2"/>
        <v>275</v>
      </c>
      <c r="V47" s="157"/>
      <c r="W47" s="124" t="s">
        <v>322</v>
      </c>
      <c r="X47" s="59"/>
      <c r="Y47" s="59"/>
      <c r="Z47" s="59"/>
      <c r="AA47" s="59"/>
      <c r="AB47" s="59"/>
      <c r="AC47" s="78"/>
    </row>
    <row r="48" spans="2:29" ht="20" customHeight="1">
      <c r="B48" s="77"/>
      <c r="C48" s="105">
        <f t="shared" si="0"/>
        <v>354</v>
      </c>
      <c r="D48" s="143"/>
      <c r="E48" s="144"/>
      <c r="F48" s="144"/>
      <c r="G48" s="144"/>
      <c r="H48" s="144"/>
      <c r="I48" s="144"/>
      <c r="J48" s="144"/>
      <c r="K48" s="144"/>
      <c r="L48" s="144" t="s">
        <v>137</v>
      </c>
      <c r="M48" s="144" t="s">
        <v>332</v>
      </c>
      <c r="N48" s="144" t="s">
        <v>61</v>
      </c>
      <c r="O48" s="144" t="s">
        <v>138</v>
      </c>
      <c r="P48" s="144" t="s">
        <v>61</v>
      </c>
      <c r="Q48" s="144" t="s">
        <v>39</v>
      </c>
      <c r="R48" s="145" t="s">
        <v>341</v>
      </c>
      <c r="S48" s="146" t="str">
        <f t="shared" si="1"/>
        <v>myuvurp</v>
      </c>
      <c r="T48" s="147" t="str">
        <f t="shared" si="3"/>
        <v>PRTVTYM</v>
      </c>
      <c r="U48" s="148">
        <f t="shared" si="2"/>
        <v>354</v>
      </c>
      <c r="V48" s="149"/>
      <c r="W48" s="121" t="s">
        <v>322</v>
      </c>
      <c r="X48" s="59"/>
      <c r="Y48" s="59"/>
      <c r="Z48" s="59"/>
      <c r="AA48" s="59"/>
      <c r="AB48" s="59"/>
      <c r="AC48" s="78"/>
    </row>
    <row r="49" spans="2:29" ht="20" customHeight="1">
      <c r="B49" s="77"/>
      <c r="C49" s="106">
        <f t="shared" si="0"/>
        <v>477</v>
      </c>
      <c r="D49" s="151"/>
      <c r="E49" s="152"/>
      <c r="F49" s="152"/>
      <c r="G49" s="152"/>
      <c r="H49" s="152"/>
      <c r="I49" s="152"/>
      <c r="J49" s="152"/>
      <c r="K49" s="152"/>
      <c r="L49" s="152"/>
      <c r="M49" s="152"/>
      <c r="N49" s="152" t="s">
        <v>340</v>
      </c>
      <c r="O49" s="152" t="s">
        <v>132</v>
      </c>
      <c r="P49" s="152" t="s">
        <v>320</v>
      </c>
      <c r="Q49" s="152" t="s">
        <v>141</v>
      </c>
      <c r="R49" s="153" t="s">
        <v>62</v>
      </c>
      <c r="S49" s="154" t="str">
        <f t="shared" si="1"/>
        <v>cvthv</v>
      </c>
      <c r="T49" s="155" t="str">
        <f t="shared" si="3"/>
        <v>VHThVS</v>
      </c>
      <c r="U49" s="156">
        <f t="shared" si="2"/>
        <v>477</v>
      </c>
      <c r="V49" s="157"/>
      <c r="W49" s="124" t="s">
        <v>322</v>
      </c>
      <c r="X49" s="59"/>
      <c r="Y49" s="59"/>
      <c r="Z49" s="59"/>
      <c r="AA49" s="59"/>
      <c r="AB49" s="59"/>
      <c r="AC49" s="78"/>
    </row>
    <row r="50" spans="2:29" ht="20" customHeight="1">
      <c r="B50" s="77"/>
      <c r="C50" s="105">
        <f t="shared" si="0"/>
        <v>486</v>
      </c>
      <c r="D50" s="143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 t="s">
        <v>133</v>
      </c>
      <c r="P50" s="144" t="s">
        <v>62</v>
      </c>
      <c r="Q50" s="144" t="s">
        <v>63</v>
      </c>
      <c r="R50" s="145" t="s">
        <v>63</v>
      </c>
      <c r="S50" s="146" t="str">
        <f t="shared" si="1"/>
        <v>tvmm</v>
      </c>
      <c r="T50" s="147" t="str">
        <f t="shared" si="3"/>
        <v>MMVTh</v>
      </c>
      <c r="U50" s="148">
        <f t="shared" si="2"/>
        <v>486</v>
      </c>
      <c r="V50" s="149"/>
      <c r="W50" s="121" t="s">
        <v>322</v>
      </c>
      <c r="X50" s="59"/>
      <c r="Y50" s="59"/>
      <c r="Z50" s="59"/>
      <c r="AA50" s="59"/>
      <c r="AB50" s="59"/>
      <c r="AC50" s="78"/>
    </row>
    <row r="51" spans="2:29" ht="20" customHeight="1">
      <c r="B51" s="77"/>
      <c r="C51" s="106">
        <f t="shared" si="0"/>
        <v>174</v>
      </c>
      <c r="D51" s="151"/>
      <c r="E51" s="152"/>
      <c r="F51" s="152"/>
      <c r="G51" s="152"/>
      <c r="H51" s="152"/>
      <c r="I51" s="152"/>
      <c r="J51" s="152"/>
      <c r="K51" s="152"/>
      <c r="L51" s="152" t="s">
        <v>137</v>
      </c>
      <c r="M51" s="152" t="s">
        <v>332</v>
      </c>
      <c r="N51" s="152" t="s">
        <v>139</v>
      </c>
      <c r="O51" s="152" t="s">
        <v>138</v>
      </c>
      <c r="P51" s="152" t="s">
        <v>264</v>
      </c>
      <c r="Q51" s="152" t="s">
        <v>134</v>
      </c>
      <c r="R51" s="153" t="s">
        <v>38</v>
      </c>
      <c r="S51" s="154" t="str">
        <f t="shared" si="1"/>
        <v>myuvumc</v>
      </c>
      <c r="T51" s="155" t="str">
        <f t="shared" si="3"/>
        <v>SMTVTYM</v>
      </c>
      <c r="U51" s="156">
        <f t="shared" si="2"/>
        <v>174</v>
      </c>
      <c r="V51" s="157"/>
      <c r="W51" s="124" t="s">
        <v>322</v>
      </c>
      <c r="X51" s="59"/>
      <c r="Y51" s="59"/>
      <c r="Z51" s="59"/>
      <c r="AA51" s="59"/>
      <c r="AB51" s="59"/>
      <c r="AC51" s="78"/>
    </row>
    <row r="52" spans="2:29" ht="20" customHeight="1">
      <c r="B52" s="77"/>
      <c r="C52" s="105">
        <f t="shared" si="0"/>
        <v>360</v>
      </c>
      <c r="D52" s="143"/>
      <c r="E52" s="144"/>
      <c r="F52" s="144"/>
      <c r="G52" s="144"/>
      <c r="H52" s="144"/>
      <c r="I52" s="144"/>
      <c r="J52" s="144"/>
      <c r="K52" s="144"/>
      <c r="L52" s="144"/>
      <c r="M52" s="144" t="s">
        <v>151</v>
      </c>
      <c r="N52" s="144" t="s">
        <v>335</v>
      </c>
      <c r="O52" s="144" t="s">
        <v>45</v>
      </c>
      <c r="P52" s="144" t="s">
        <v>151</v>
      </c>
      <c r="Q52" s="144" t="s">
        <v>36</v>
      </c>
      <c r="R52" s="145" t="s">
        <v>47</v>
      </c>
      <c r="S52" s="146" t="str">
        <f t="shared" si="1"/>
        <v>yynyrp</v>
      </c>
      <c r="T52" s="147" t="str">
        <f t="shared" si="3"/>
        <v>PRYNYY</v>
      </c>
      <c r="U52" s="148">
        <f t="shared" si="2"/>
        <v>360</v>
      </c>
      <c r="V52" s="149"/>
      <c r="W52" s="121" t="s">
        <v>322</v>
      </c>
      <c r="X52" s="59"/>
      <c r="Y52" s="59"/>
      <c r="Z52" s="59"/>
      <c r="AA52" s="59"/>
      <c r="AB52" s="59"/>
      <c r="AC52" s="78"/>
    </row>
    <row r="53" spans="2:29" ht="20" customHeight="1">
      <c r="B53" s="77"/>
      <c r="C53" s="106">
        <f t="shared" si="0"/>
        <v>309</v>
      </c>
      <c r="D53" s="151"/>
      <c r="E53" s="152"/>
      <c r="F53" s="152"/>
      <c r="G53" s="152"/>
      <c r="H53" s="152"/>
      <c r="I53" s="152"/>
      <c r="J53" s="152"/>
      <c r="K53" s="152"/>
      <c r="L53" s="152"/>
      <c r="M53" s="152"/>
      <c r="N53" s="152" t="s">
        <v>151</v>
      </c>
      <c r="O53" s="152" t="s">
        <v>151</v>
      </c>
      <c r="P53" s="152" t="s">
        <v>61</v>
      </c>
      <c r="Q53" s="152" t="s">
        <v>326</v>
      </c>
      <c r="R53" s="153" t="s">
        <v>47</v>
      </c>
      <c r="S53" s="154" t="str">
        <f t="shared" si="1"/>
        <v>yyurp</v>
      </c>
      <c r="T53" s="155" t="str">
        <f t="shared" si="3"/>
        <v>PRTYY</v>
      </c>
      <c r="U53" s="156">
        <f t="shared" si="2"/>
        <v>309</v>
      </c>
      <c r="V53" s="157"/>
      <c r="W53" s="124" t="s">
        <v>322</v>
      </c>
      <c r="X53" s="59"/>
      <c r="Y53" s="59"/>
      <c r="Z53" s="59"/>
      <c r="AA53" s="59"/>
      <c r="AB53" s="59"/>
      <c r="AC53" s="78"/>
    </row>
    <row r="54" spans="2:29" ht="20" customHeight="1">
      <c r="B54" s="77"/>
      <c r="C54" s="105">
        <f t="shared" si="0"/>
        <v>360</v>
      </c>
      <c r="D54" s="143"/>
      <c r="E54" s="144"/>
      <c r="F54" s="144"/>
      <c r="G54" s="144"/>
      <c r="H54" s="144"/>
      <c r="I54" s="144"/>
      <c r="J54" s="144"/>
      <c r="K54" s="144"/>
      <c r="L54" s="144"/>
      <c r="M54" s="144" t="s">
        <v>266</v>
      </c>
      <c r="N54" s="144" t="s">
        <v>151</v>
      </c>
      <c r="O54" s="144" t="s">
        <v>143</v>
      </c>
      <c r="P54" s="144" t="s">
        <v>265</v>
      </c>
      <c r="Q54" s="144" t="s">
        <v>47</v>
      </c>
      <c r="R54" s="145" t="s">
        <v>38</v>
      </c>
      <c r="S54" s="146" t="str">
        <f t="shared" si="1"/>
        <v>nyqcpc</v>
      </c>
      <c r="T54" s="147" t="str">
        <f t="shared" si="3"/>
        <v>SPSQYN</v>
      </c>
      <c r="U54" s="148">
        <f t="shared" si="2"/>
        <v>360</v>
      </c>
      <c r="V54" s="149"/>
      <c r="W54" s="121" t="s">
        <v>322</v>
      </c>
      <c r="X54" s="59"/>
      <c r="Y54" s="59"/>
      <c r="Z54" s="59"/>
      <c r="AA54" s="59"/>
      <c r="AB54" s="59"/>
      <c r="AC54" s="78"/>
    </row>
    <row r="55" spans="2:29" ht="20" customHeight="1">
      <c r="B55" s="77"/>
      <c r="C55" s="106">
        <f t="shared" si="0"/>
        <v>326</v>
      </c>
      <c r="D55" s="151"/>
      <c r="E55" s="152"/>
      <c r="F55" s="152"/>
      <c r="G55" s="152"/>
      <c r="H55" s="152"/>
      <c r="I55" s="152"/>
      <c r="J55" s="152"/>
      <c r="K55" s="152"/>
      <c r="L55" s="152"/>
      <c r="M55" s="152"/>
      <c r="N55" s="152" t="s">
        <v>338</v>
      </c>
      <c r="O55" s="152" t="s">
        <v>62</v>
      </c>
      <c r="P55" s="152" t="s">
        <v>151</v>
      </c>
      <c r="Q55" s="152" t="s">
        <v>36</v>
      </c>
      <c r="R55" s="153" t="s">
        <v>38</v>
      </c>
      <c r="S55" s="154" t="str">
        <f t="shared" si="1"/>
        <v>nvyrc</v>
      </c>
      <c r="T55" s="155" t="str">
        <f t="shared" si="3"/>
        <v>SRYVN</v>
      </c>
      <c r="U55" s="156">
        <f t="shared" si="2"/>
        <v>326</v>
      </c>
      <c r="V55" s="157"/>
      <c r="W55" s="124" t="s">
        <v>322</v>
      </c>
      <c r="X55" s="59"/>
      <c r="Y55" s="59"/>
      <c r="Z55" s="59"/>
      <c r="AA55" s="59"/>
      <c r="AB55" s="59"/>
      <c r="AC55" s="78"/>
    </row>
    <row r="56" spans="2:29" ht="20" customHeight="1">
      <c r="B56" s="77"/>
      <c r="C56" s="105">
        <f t="shared" si="0"/>
        <v>207</v>
      </c>
      <c r="D56" s="143"/>
      <c r="E56" s="144"/>
      <c r="F56" s="144"/>
      <c r="G56" s="144"/>
      <c r="H56" s="144"/>
      <c r="I56" s="144"/>
      <c r="J56" s="144"/>
      <c r="K56" s="144"/>
      <c r="L56" s="144"/>
      <c r="M56" s="144" t="s">
        <v>338</v>
      </c>
      <c r="N56" s="144" t="s">
        <v>239</v>
      </c>
      <c r="O56" s="144" t="s">
        <v>143</v>
      </c>
      <c r="P56" s="144" t="s">
        <v>140</v>
      </c>
      <c r="Q56" s="144" t="s">
        <v>63</v>
      </c>
      <c r="R56" s="145" t="s">
        <v>62</v>
      </c>
      <c r="S56" s="146" t="str">
        <f t="shared" si="1"/>
        <v>nvqhmv</v>
      </c>
      <c r="T56" s="147" t="str">
        <f t="shared" si="3"/>
        <v>VMHQVN</v>
      </c>
      <c r="U56" s="148">
        <f t="shared" si="2"/>
        <v>207</v>
      </c>
      <c r="V56" s="149"/>
      <c r="W56" s="121" t="s">
        <v>322</v>
      </c>
      <c r="X56" s="59"/>
      <c r="Y56" s="59"/>
      <c r="Z56" s="59"/>
      <c r="AA56" s="59"/>
      <c r="AB56" s="59"/>
      <c r="AC56" s="78"/>
    </row>
    <row r="57" spans="2:29" ht="20" customHeight="1">
      <c r="B57" s="77"/>
      <c r="C57" s="106">
        <f t="shared" si="0"/>
        <v>636</v>
      </c>
      <c r="D57" s="151"/>
      <c r="E57" s="152"/>
      <c r="F57" s="152"/>
      <c r="G57" s="152"/>
      <c r="H57" s="152"/>
      <c r="I57" s="152"/>
      <c r="J57" s="152"/>
      <c r="K57" s="152"/>
      <c r="L57" s="152"/>
      <c r="M57" s="152"/>
      <c r="N57" s="152" t="s">
        <v>45</v>
      </c>
      <c r="O57" s="152" t="s">
        <v>239</v>
      </c>
      <c r="P57" s="152" t="s">
        <v>267</v>
      </c>
      <c r="Q57" s="152" t="s">
        <v>44</v>
      </c>
      <c r="R57" s="153" t="s">
        <v>313</v>
      </c>
      <c r="S57" s="154" t="str">
        <f t="shared" si="1"/>
        <v>nvpqt</v>
      </c>
      <c r="T57" s="155" t="str">
        <f t="shared" si="3"/>
        <v>ThQPVN</v>
      </c>
      <c r="U57" s="156">
        <f t="shared" si="2"/>
        <v>636</v>
      </c>
      <c r="V57" s="157"/>
      <c r="W57" s="124" t="s">
        <v>322</v>
      </c>
      <c r="X57" s="59"/>
      <c r="Y57" s="59"/>
      <c r="Z57" s="59"/>
      <c r="AA57" s="59"/>
      <c r="AB57" s="59"/>
      <c r="AC57" s="78"/>
    </row>
    <row r="58" spans="2:29" ht="20" customHeight="1">
      <c r="B58" s="77"/>
      <c r="C58" s="105">
        <f t="shared" si="0"/>
        <v>536</v>
      </c>
      <c r="D58" s="143"/>
      <c r="E58" s="144"/>
      <c r="F58" s="144"/>
      <c r="G58" s="144"/>
      <c r="H58" s="144"/>
      <c r="I58" s="144"/>
      <c r="J58" s="144"/>
      <c r="K58" s="144"/>
      <c r="L58" s="144"/>
      <c r="M58" s="144"/>
      <c r="N58" s="144" t="s">
        <v>45</v>
      </c>
      <c r="O58" s="144" t="s">
        <v>62</v>
      </c>
      <c r="P58" s="144" t="s">
        <v>47</v>
      </c>
      <c r="Q58" s="144" t="s">
        <v>268</v>
      </c>
      <c r="R58" s="145" t="s">
        <v>227</v>
      </c>
      <c r="S58" s="146" t="str">
        <f t="shared" si="1"/>
        <v>nvpqs</v>
      </c>
      <c r="T58" s="147" t="str">
        <f t="shared" si="3"/>
        <v>SchQPVN</v>
      </c>
      <c r="U58" s="148">
        <f t="shared" si="2"/>
        <v>536</v>
      </c>
      <c r="V58" s="149"/>
      <c r="W58" s="121" t="s">
        <v>322</v>
      </c>
      <c r="X58" s="59"/>
      <c r="Y58" s="59"/>
      <c r="Z58" s="59"/>
      <c r="AA58" s="59"/>
      <c r="AB58" s="59"/>
      <c r="AC58" s="78"/>
    </row>
    <row r="59" spans="2:29" ht="20" customHeight="1">
      <c r="B59" s="77"/>
      <c r="C59" s="106">
        <f t="shared" si="0"/>
        <v>103</v>
      </c>
      <c r="D59" s="151"/>
      <c r="E59" s="152"/>
      <c r="F59" s="152"/>
      <c r="G59" s="152"/>
      <c r="H59" s="152"/>
      <c r="I59" s="152"/>
      <c r="J59" s="152"/>
      <c r="K59" s="152"/>
      <c r="L59" s="152"/>
      <c r="M59" s="152"/>
      <c r="N59" s="152" t="s">
        <v>338</v>
      </c>
      <c r="O59" s="152" t="s">
        <v>138</v>
      </c>
      <c r="P59" s="152" t="s">
        <v>319</v>
      </c>
      <c r="Q59" s="152" t="s">
        <v>42</v>
      </c>
      <c r="R59" s="153" t="s">
        <v>289</v>
      </c>
      <c r="S59" s="154" t="str">
        <f t="shared" si="1"/>
        <v>nvulx</v>
      </c>
      <c r="T59" s="155" t="str">
        <f t="shared" si="3"/>
        <v>ChLTVN</v>
      </c>
      <c r="U59" s="156">
        <f t="shared" si="2"/>
        <v>103</v>
      </c>
      <c r="V59" s="157"/>
      <c r="W59" s="124" t="s">
        <v>322</v>
      </c>
      <c r="X59" s="59"/>
      <c r="Y59" s="59"/>
      <c r="Z59" s="59"/>
      <c r="AA59" s="59"/>
      <c r="AB59" s="59"/>
      <c r="AC59" s="78"/>
    </row>
    <row r="60" spans="2:29" ht="20" customHeight="1">
      <c r="B60" s="77"/>
      <c r="C60" s="105">
        <f t="shared" si="0"/>
        <v>214</v>
      </c>
      <c r="D60" s="143"/>
      <c r="E60" s="144"/>
      <c r="F60" s="144"/>
      <c r="G60" s="144"/>
      <c r="H60" s="144"/>
      <c r="I60" s="144"/>
      <c r="J60" s="144"/>
      <c r="K60" s="144"/>
      <c r="L60" s="144"/>
      <c r="M60" s="144" t="s">
        <v>271</v>
      </c>
      <c r="N60" s="144" t="s">
        <v>152</v>
      </c>
      <c r="O60" s="144" t="s">
        <v>270</v>
      </c>
      <c r="P60" s="144" t="s">
        <v>269</v>
      </c>
      <c r="Q60" s="144" t="s">
        <v>40</v>
      </c>
      <c r="R60" s="145" t="s">
        <v>312</v>
      </c>
      <c r="S60" s="146" t="str">
        <f t="shared" si="1"/>
        <v>nyndyj</v>
      </c>
      <c r="T60" s="147" t="str">
        <f t="shared" si="3"/>
        <v>TsYDNYN</v>
      </c>
      <c r="U60" s="148">
        <f t="shared" si="2"/>
        <v>214</v>
      </c>
      <c r="V60" s="149"/>
      <c r="W60" s="121" t="s">
        <v>322</v>
      </c>
      <c r="X60" s="59"/>
      <c r="Y60" s="59"/>
      <c r="Z60" s="59"/>
      <c r="AA60" s="59"/>
      <c r="AB60" s="59"/>
      <c r="AC60" s="78"/>
    </row>
    <row r="61" spans="2:29" ht="20" customHeight="1">
      <c r="B61" s="77"/>
      <c r="C61" s="106">
        <f t="shared" si="0"/>
        <v>114</v>
      </c>
      <c r="D61" s="151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 t="s">
        <v>273</v>
      </c>
      <c r="Q61" s="152" t="s">
        <v>272</v>
      </c>
      <c r="R61" s="153" t="s">
        <v>312</v>
      </c>
      <c r="S61" s="154" t="str">
        <f t="shared" si="1"/>
        <v>kdj</v>
      </c>
      <c r="T61" s="155" t="str">
        <f t="shared" si="3"/>
        <v>TsDK</v>
      </c>
      <c r="U61" s="156">
        <f t="shared" si="2"/>
        <v>114</v>
      </c>
      <c r="V61" s="157"/>
      <c r="W61" s="124" t="s">
        <v>322</v>
      </c>
      <c r="X61" s="59"/>
      <c r="Y61" s="59"/>
      <c r="Z61" s="59"/>
      <c r="AA61" s="59"/>
      <c r="AB61" s="59"/>
      <c r="AC61" s="78"/>
    </row>
    <row r="62" spans="2:29" ht="20" customHeight="1">
      <c r="B62" s="77"/>
      <c r="C62" s="105">
        <f t="shared" si="0"/>
        <v>175</v>
      </c>
      <c r="D62" s="143"/>
      <c r="E62" s="144"/>
      <c r="F62" s="144"/>
      <c r="G62" s="144"/>
      <c r="H62" s="144"/>
      <c r="I62" s="144"/>
      <c r="J62" s="144"/>
      <c r="K62" s="144"/>
      <c r="L62" s="144" t="s">
        <v>333</v>
      </c>
      <c r="M62" s="144" t="s">
        <v>335</v>
      </c>
      <c r="N62" s="144" t="s">
        <v>45</v>
      </c>
      <c r="O62" s="144" t="s">
        <v>132</v>
      </c>
      <c r="P62" s="144" t="s">
        <v>51</v>
      </c>
      <c r="Q62" s="144" t="s">
        <v>40</v>
      </c>
      <c r="R62" s="145" t="s">
        <v>312</v>
      </c>
      <c r="S62" s="146" t="str">
        <f t="shared" si="1"/>
        <v>hynvdyj</v>
      </c>
      <c r="T62" s="147" t="str">
        <f t="shared" si="3"/>
        <v>TsYDVNYH</v>
      </c>
      <c r="U62" s="148">
        <f t="shared" si="2"/>
        <v>175</v>
      </c>
      <c r="V62" s="149"/>
      <c r="W62" s="121" t="s">
        <v>322</v>
      </c>
      <c r="X62" s="59"/>
      <c r="Y62" s="59"/>
      <c r="Z62" s="59"/>
      <c r="AA62" s="59"/>
      <c r="AB62" s="59"/>
      <c r="AC62" s="78"/>
    </row>
    <row r="63" spans="2:29" ht="20" customHeight="1">
      <c r="B63" s="77"/>
      <c r="C63" s="106">
        <f t="shared" si="0"/>
        <v>186</v>
      </c>
      <c r="D63" s="151"/>
      <c r="E63" s="152"/>
      <c r="F63" s="152"/>
      <c r="G63" s="152"/>
      <c r="H63" s="152"/>
      <c r="I63" s="152"/>
      <c r="J63" s="152"/>
      <c r="K63" s="152" t="s">
        <v>333</v>
      </c>
      <c r="L63" s="152" t="s">
        <v>40</v>
      </c>
      <c r="M63" s="152" t="s">
        <v>312</v>
      </c>
      <c r="N63" s="152" t="s">
        <v>62</v>
      </c>
      <c r="O63" s="152" t="s">
        <v>134</v>
      </c>
      <c r="P63" s="152" t="s">
        <v>52</v>
      </c>
      <c r="Q63" s="152" t="s">
        <v>224</v>
      </c>
      <c r="R63" s="153" t="s">
        <v>43</v>
      </c>
      <c r="S63" s="154" t="str">
        <f t="shared" si="1"/>
        <v>hyjvmlgb</v>
      </c>
      <c r="T63" s="155" t="str">
        <f t="shared" si="3"/>
        <v>BGLMVTsYH</v>
      </c>
      <c r="U63" s="156">
        <f t="shared" si="2"/>
        <v>186</v>
      </c>
      <c r="V63" s="157"/>
      <c r="W63" s="124" t="s">
        <v>322</v>
      </c>
      <c r="X63" s="59"/>
      <c r="Y63" s="59"/>
      <c r="Z63" s="59"/>
      <c r="AA63" s="59"/>
      <c r="AB63" s="59"/>
      <c r="AC63" s="78"/>
    </row>
    <row r="64" spans="2:29" ht="20" customHeight="1">
      <c r="B64" s="77"/>
      <c r="C64" s="105">
        <f t="shared" si="0"/>
        <v>342</v>
      </c>
      <c r="D64" s="143"/>
      <c r="E64" s="144"/>
      <c r="F64" s="144"/>
      <c r="G64" s="144"/>
      <c r="H64" s="144"/>
      <c r="I64" s="144"/>
      <c r="J64" s="144"/>
      <c r="K64" s="144"/>
      <c r="L64" s="144"/>
      <c r="M64" s="144" t="s">
        <v>53</v>
      </c>
      <c r="N64" s="144" t="s">
        <v>62</v>
      </c>
      <c r="O64" s="144" t="s">
        <v>225</v>
      </c>
      <c r="P64" s="144" t="s">
        <v>326</v>
      </c>
      <c r="Q64" s="144" t="s">
        <v>267</v>
      </c>
      <c r="R64" s="145" t="s">
        <v>155</v>
      </c>
      <c r="S64" s="146" t="str">
        <f t="shared" si="1"/>
        <v>nvhrpa</v>
      </c>
      <c r="T64" s="147" t="str">
        <f t="shared" si="3"/>
        <v>APRHVN</v>
      </c>
      <c r="U64" s="148">
        <f t="shared" si="2"/>
        <v>342</v>
      </c>
      <c r="V64" s="149"/>
      <c r="W64" s="121" t="s">
        <v>322</v>
      </c>
      <c r="X64" s="59"/>
      <c r="Y64" s="59"/>
      <c r="Z64" s="59"/>
      <c r="AA64" s="59"/>
      <c r="AB64" s="59"/>
      <c r="AC64" s="78"/>
    </row>
    <row r="65" spans="2:29" ht="20" customHeight="1">
      <c r="B65" s="77"/>
      <c r="C65" s="106">
        <f t="shared" si="0"/>
        <v>191</v>
      </c>
      <c r="D65" s="151"/>
      <c r="E65" s="152"/>
      <c r="F65" s="152"/>
      <c r="G65" s="152"/>
      <c r="H65" s="152"/>
      <c r="I65" s="152"/>
      <c r="J65" s="152"/>
      <c r="K65" s="152"/>
      <c r="L65" s="152"/>
      <c r="M65" s="152"/>
      <c r="N65" s="152" t="s">
        <v>45</v>
      </c>
      <c r="O65" s="152" t="s">
        <v>62</v>
      </c>
      <c r="P65" s="152" t="s">
        <v>141</v>
      </c>
      <c r="Q65" s="152" t="s">
        <v>42</v>
      </c>
      <c r="R65" s="153" t="s">
        <v>44</v>
      </c>
      <c r="S65" s="154" t="str">
        <f t="shared" si="1"/>
        <v>nvhlq</v>
      </c>
      <c r="T65" s="155" t="str">
        <f t="shared" si="3"/>
        <v>QLHVN</v>
      </c>
      <c r="U65" s="156">
        <f t="shared" si="2"/>
        <v>191</v>
      </c>
      <c r="V65" s="157"/>
      <c r="W65" s="124" t="s">
        <v>322</v>
      </c>
      <c r="X65" s="59"/>
      <c r="Y65" s="59"/>
      <c r="Z65" s="59"/>
      <c r="AA65" s="59"/>
      <c r="AB65" s="59"/>
      <c r="AC65" s="78"/>
    </row>
    <row r="66" spans="2:29" ht="20" customHeight="1">
      <c r="B66" s="77"/>
      <c r="C66" s="105">
        <f t="shared" si="0"/>
        <v>137</v>
      </c>
      <c r="D66" s="143"/>
      <c r="E66" s="144"/>
      <c r="F66" s="144"/>
      <c r="G66" s="144"/>
      <c r="H66" s="144"/>
      <c r="I66" s="144"/>
      <c r="J66" s="144"/>
      <c r="K66" s="144"/>
      <c r="L66" s="144"/>
      <c r="M66" s="144" t="s">
        <v>42</v>
      </c>
      <c r="N66" s="144" t="s">
        <v>155</v>
      </c>
      <c r="O66" s="144" t="s">
        <v>151</v>
      </c>
      <c r="P66" s="144" t="s">
        <v>47</v>
      </c>
      <c r="Q66" s="144" t="s">
        <v>132</v>
      </c>
      <c r="R66" s="145" t="s">
        <v>152</v>
      </c>
      <c r="S66" s="146" t="str">
        <f t="shared" si="1"/>
        <v>laypvy</v>
      </c>
      <c r="T66" s="147" t="str">
        <f t="shared" si="3"/>
        <v>YVPYAL</v>
      </c>
      <c r="U66" s="148">
        <f t="shared" si="2"/>
        <v>137</v>
      </c>
      <c r="V66" s="149" t="s">
        <v>57</v>
      </c>
      <c r="W66" s="121" t="s">
        <v>322</v>
      </c>
      <c r="X66" s="59"/>
      <c r="Y66" s="59"/>
      <c r="Z66" s="59"/>
      <c r="AA66" s="59"/>
      <c r="AB66" s="59"/>
      <c r="AC66" s="78"/>
    </row>
    <row r="67" spans="2:29" ht="20" customHeight="1">
      <c r="B67" s="77"/>
      <c r="C67" s="106">
        <f t="shared" si="0"/>
        <v>314</v>
      </c>
      <c r="D67" s="151"/>
      <c r="E67" s="152"/>
      <c r="F67" s="152"/>
      <c r="G67" s="152"/>
      <c r="H67" s="152"/>
      <c r="I67" s="152"/>
      <c r="J67" s="152"/>
      <c r="K67" s="152"/>
      <c r="L67" s="152"/>
      <c r="M67" s="152" t="s">
        <v>338</v>
      </c>
      <c r="N67" s="152" t="s">
        <v>239</v>
      </c>
      <c r="O67" s="152" t="s">
        <v>54</v>
      </c>
      <c r="P67" s="152" t="s">
        <v>264</v>
      </c>
      <c r="Q67" s="152" t="s">
        <v>264</v>
      </c>
      <c r="R67" s="153" t="s">
        <v>63</v>
      </c>
      <c r="S67" s="154" t="str">
        <f t="shared" si="1"/>
        <v>nvruum</v>
      </c>
      <c r="T67" s="155" t="str">
        <f t="shared" si="3"/>
        <v>MTTRVN</v>
      </c>
      <c r="U67" s="156">
        <f t="shared" si="2"/>
        <v>314</v>
      </c>
      <c r="V67" s="157" t="s">
        <v>56</v>
      </c>
      <c r="W67" s="124" t="s">
        <v>322</v>
      </c>
      <c r="X67" s="59"/>
      <c r="Y67" s="59"/>
      <c r="Z67" s="59"/>
      <c r="AA67" s="59"/>
      <c r="AB67" s="59"/>
      <c r="AC67" s="78"/>
    </row>
    <row r="68" spans="2:29" ht="20" customHeight="1">
      <c r="B68" s="77"/>
      <c r="C68" s="105">
        <f t="shared" si="0"/>
        <v>716</v>
      </c>
      <c r="D68" s="143"/>
      <c r="E68" s="144"/>
      <c r="F68" s="144"/>
      <c r="G68" s="144"/>
      <c r="H68" s="144"/>
      <c r="I68" s="144"/>
      <c r="J68" s="144"/>
      <c r="K68" s="144" t="s">
        <v>313</v>
      </c>
      <c r="L68" s="144" t="s">
        <v>335</v>
      </c>
      <c r="M68" s="144" t="s">
        <v>338</v>
      </c>
      <c r="N68" s="144" t="s">
        <v>62</v>
      </c>
      <c r="O68" s="144" t="s">
        <v>143</v>
      </c>
      <c r="P68" s="144" t="s">
        <v>38</v>
      </c>
      <c r="Q68" s="144" t="s">
        <v>40</v>
      </c>
      <c r="R68" s="145" t="s">
        <v>47</v>
      </c>
      <c r="S68" s="146" t="str">
        <f t="shared" si="1"/>
        <v>tynvqcyp</v>
      </c>
      <c r="T68" s="147" t="str">
        <f t="shared" si="3"/>
        <v>PYSQVNYTh</v>
      </c>
      <c r="U68" s="148">
        <f t="shared" si="2"/>
        <v>716</v>
      </c>
      <c r="V68" s="149" t="s">
        <v>55</v>
      </c>
      <c r="W68" s="121" t="s">
        <v>322</v>
      </c>
      <c r="X68" s="59"/>
      <c r="Y68" s="59"/>
      <c r="Z68" s="59"/>
      <c r="AA68" s="59"/>
      <c r="AB68" s="59"/>
      <c r="AC68" s="78"/>
    </row>
    <row r="69" spans="2:29" ht="20" customHeight="1">
      <c r="B69" s="77"/>
      <c r="C69" s="106">
        <f t="shared" si="0"/>
        <v>345</v>
      </c>
      <c r="D69" s="151"/>
      <c r="E69" s="152"/>
      <c r="F69" s="152"/>
      <c r="G69" s="152"/>
      <c r="H69" s="152"/>
      <c r="I69" s="152"/>
      <c r="J69" s="152"/>
      <c r="K69" s="152"/>
      <c r="L69" s="152"/>
      <c r="M69" s="152" t="s">
        <v>338</v>
      </c>
      <c r="N69" s="152" t="s">
        <v>226</v>
      </c>
      <c r="O69" s="152" t="s">
        <v>289</v>
      </c>
      <c r="P69" s="152" t="s">
        <v>326</v>
      </c>
      <c r="Q69" s="152" t="s">
        <v>267</v>
      </c>
      <c r="R69" s="153" t="s">
        <v>155</v>
      </c>
      <c r="S69" s="154" t="str">
        <f t="shared" si="1"/>
        <v>nvxrpa</v>
      </c>
      <c r="T69" s="155" t="str">
        <f t="shared" si="3"/>
        <v>APRChVN</v>
      </c>
      <c r="U69" s="156">
        <f t="shared" si="2"/>
        <v>345</v>
      </c>
      <c r="V69" s="157"/>
      <c r="W69" s="124" t="s">
        <v>322</v>
      </c>
      <c r="X69" s="59"/>
      <c r="Y69" s="59"/>
      <c r="Z69" s="59"/>
      <c r="AA69" s="59"/>
      <c r="AB69" s="59"/>
      <c r="AC69" s="78"/>
    </row>
    <row r="70" spans="2:29" ht="20" customHeight="1">
      <c r="B70" s="77"/>
      <c r="C70" s="105">
        <f t="shared" si="0"/>
        <v>207</v>
      </c>
      <c r="D70" s="143"/>
      <c r="E70" s="144"/>
      <c r="F70" s="144"/>
      <c r="G70" s="144"/>
      <c r="H70" s="144"/>
      <c r="I70" s="144"/>
      <c r="J70" s="144"/>
      <c r="K70" s="144"/>
      <c r="L70" s="144" t="s">
        <v>150</v>
      </c>
      <c r="M70" s="144" t="s">
        <v>240</v>
      </c>
      <c r="N70" s="144" t="s">
        <v>327</v>
      </c>
      <c r="O70" s="144" t="s">
        <v>37</v>
      </c>
      <c r="P70" s="144" t="s">
        <v>59</v>
      </c>
      <c r="Q70" s="144" t="s">
        <v>58</v>
      </c>
      <c r="R70" s="145" t="s">
        <v>151</v>
      </c>
      <c r="S70" s="146" t="str">
        <f t="shared" si="1"/>
        <v>layipvy</v>
      </c>
      <c r="T70" s="147" t="str">
        <f t="shared" si="3"/>
        <v>YVPAYAL</v>
      </c>
      <c r="U70" s="148">
        <f t="shared" si="2"/>
        <v>207</v>
      </c>
      <c r="V70" s="149"/>
      <c r="W70" s="121" t="s">
        <v>322</v>
      </c>
      <c r="X70" s="59"/>
      <c r="Y70" s="59"/>
      <c r="Z70" s="59"/>
      <c r="AA70" s="59"/>
      <c r="AB70" s="59"/>
      <c r="AC70" s="78"/>
    </row>
    <row r="71" spans="2:29" ht="20" customHeight="1">
      <c r="B71" s="77"/>
      <c r="C71" s="106">
        <f t="shared" si="0"/>
        <v>0</v>
      </c>
      <c r="D71" s="151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3"/>
      <c r="S71" s="154" t="str">
        <f t="shared" si="1"/>
        <v/>
      </c>
      <c r="T71" s="155" t="str">
        <f t="shared" si="3"/>
        <v/>
      </c>
      <c r="U71" s="156">
        <f t="shared" si="2"/>
        <v>0</v>
      </c>
      <c r="V71" s="157"/>
      <c r="W71" s="124"/>
      <c r="X71" s="59"/>
      <c r="Y71" s="59"/>
      <c r="Z71" s="59"/>
      <c r="AA71" s="59"/>
      <c r="AB71" s="59"/>
      <c r="AC71" s="78"/>
    </row>
    <row r="72" spans="2:29" ht="20" customHeight="1">
      <c r="B72" s="77"/>
      <c r="C72" s="105">
        <f t="shared" si="0"/>
        <v>0</v>
      </c>
      <c r="D72" s="143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5"/>
      <c r="S72" s="146" t="str">
        <f t="shared" si="1"/>
        <v/>
      </c>
      <c r="T72" s="147" t="str">
        <f t="shared" si="3"/>
        <v/>
      </c>
      <c r="U72" s="148">
        <f t="shared" si="2"/>
        <v>0</v>
      </c>
      <c r="V72" s="149"/>
      <c r="W72" s="121"/>
      <c r="X72" s="59"/>
      <c r="Y72" s="59"/>
      <c r="Z72" s="59"/>
      <c r="AA72" s="59"/>
      <c r="AB72" s="59"/>
      <c r="AC72" s="78"/>
    </row>
    <row r="73" spans="2:29" ht="20" customHeight="1">
      <c r="B73" s="77"/>
      <c r="C73" s="106">
        <f t="shared" si="0"/>
        <v>0</v>
      </c>
      <c r="D73" s="151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3"/>
      <c r="S73" s="154" t="str">
        <f t="shared" si="1"/>
        <v/>
      </c>
      <c r="T73" s="155" t="str">
        <f t="shared" si="3"/>
        <v/>
      </c>
      <c r="U73" s="156">
        <f t="shared" si="2"/>
        <v>0</v>
      </c>
      <c r="V73" s="157"/>
      <c r="W73" s="124"/>
      <c r="X73" s="59"/>
      <c r="Y73" s="59"/>
      <c r="Z73" s="59"/>
      <c r="AA73" s="59"/>
      <c r="AB73" s="59"/>
      <c r="AC73" s="78"/>
    </row>
    <row r="74" spans="2:29" ht="20" customHeight="1">
      <c r="B74" s="77"/>
      <c r="C74" s="105">
        <f t="shared" si="0"/>
        <v>0</v>
      </c>
      <c r="D74" s="143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5"/>
      <c r="S74" s="146" t="str">
        <f t="shared" si="1"/>
        <v/>
      </c>
      <c r="T74" s="147" t="str">
        <f t="shared" si="3"/>
        <v/>
      </c>
      <c r="U74" s="148">
        <f t="shared" si="2"/>
        <v>0</v>
      </c>
      <c r="V74" s="149"/>
      <c r="W74" s="121"/>
      <c r="X74" s="59"/>
      <c r="Y74" s="59"/>
      <c r="Z74" s="59"/>
      <c r="AA74" s="59"/>
      <c r="AB74" s="59"/>
      <c r="AC74" s="78"/>
    </row>
    <row r="75" spans="2:29" ht="20" customHeight="1">
      <c r="B75" s="77"/>
      <c r="C75" s="106">
        <f t="shared" si="0"/>
        <v>0</v>
      </c>
      <c r="D75" s="151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3"/>
      <c r="S75" s="154" t="str">
        <f t="shared" si="1"/>
        <v/>
      </c>
      <c r="T75" s="155" t="str">
        <f t="shared" si="3"/>
        <v/>
      </c>
      <c r="U75" s="156">
        <f t="shared" si="2"/>
        <v>0</v>
      </c>
      <c r="V75" s="157"/>
      <c r="W75" s="124"/>
      <c r="X75" s="59"/>
      <c r="Y75" s="59"/>
      <c r="Z75" s="59"/>
      <c r="AA75" s="59"/>
      <c r="AB75" s="59"/>
      <c r="AC75" s="78"/>
    </row>
    <row r="76" spans="2:29" ht="20" customHeight="1">
      <c r="B76" s="77"/>
      <c r="C76" s="105">
        <f t="shared" ref="C76:C139" si="4">U76</f>
        <v>0</v>
      </c>
      <c r="D76" s="143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5"/>
      <c r="S76" s="146" t="str">
        <f t="shared" ref="S76:S139" si="5">D76&amp;E76&amp;F76&amp;G76&amp;H76&amp;I76&amp;J76&amp;K76&amp;L76&amp;M76&amp;N76&amp;O76&amp;P76&amp;Q76&amp;R76</f>
        <v/>
      </c>
      <c r="T76" s="147" t="str">
        <f t="shared" si="3"/>
        <v/>
      </c>
      <c r="U76" s="148">
        <f t="shared" ref="U76:U139" si="6">IF(R76="",0,VLOOKUP(R76,$Y$11:$Z$32,2))+IF(Q76="",0,VLOOKUP(Q76,$Y$11:$Z$32,2))+IF(P76="",0,VLOOKUP(P76,$Y$11:$Z$32,2))+IF(O76="",0,VLOOKUP(O76,$Y$11:$Z$32,2))+IF(N76="",0,VLOOKUP(N76,$Y$11:$Z$32,2))+IF(M76="",0,VLOOKUP(M76,$Y$11:$Z$32,2))+IF(L76="",0,VLOOKUP(L76,$Y$11:$Z$32,2))+IF(K76="",0,VLOOKUP(K76,$Y$11:$Z$32,2))+IF(J76="",0,VLOOKUP(J76,$Y$11:$Z$32,2))+IF(I76="",0,VLOOKUP(I76,$Y$11:$Z$32,2))+IF(H76="",0,VLOOKUP(H76,$Y$11:$Z$32,2))+IF(G76="",0,VLOOKUP(G76,$Y$11:$Z$32,2))+IF(F76="",0,VLOOKUP(F76,$Y$11:$Z$32,2))+IF(E76="",0,VLOOKUP(E76,$Y$11:$Z$32,2))+IF(D76="",0,VLOOKUP(D76,$Y$11:$Z$32,2))</f>
        <v>0</v>
      </c>
      <c r="V76" s="149"/>
      <c r="W76" s="121"/>
      <c r="X76" s="59"/>
      <c r="Y76" s="59"/>
      <c r="Z76" s="59"/>
      <c r="AA76" s="59"/>
      <c r="AB76" s="59"/>
      <c r="AC76" s="78"/>
    </row>
    <row r="77" spans="2:29" ht="20" customHeight="1">
      <c r="B77" s="77"/>
      <c r="C77" s="106">
        <f t="shared" si="4"/>
        <v>0</v>
      </c>
      <c r="D77" s="151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3"/>
      <c r="S77" s="154" t="str">
        <f t="shared" si="5"/>
        <v/>
      </c>
      <c r="T77" s="155" t="str">
        <f t="shared" ref="T77:T140" si="7">IF(R77="","",VLOOKUP(R77,$Y$11:$AB$32,4))&amp;IF(Q77="","",VLOOKUP(Q77,$Y$11:$AB$32,4))&amp;IF(P77="","",VLOOKUP(P77,$Y$11:$AB$32,4))&amp;IF(O77="","",VLOOKUP(O77,$Y$11:$AB$32,4))&amp;IF(N77="","",VLOOKUP(N77,$Y$11:$AB$32,4))&amp;IF(M77="","",VLOOKUP(M77,$Y$11:$AB$32,4))&amp;IF(L77="","",VLOOKUP(L77,$Y$11:$AB$32,4))&amp;IF(K77="","",VLOOKUP(K77,$Y$11:$AB$32,4))&amp;IF(J77="","",VLOOKUP(J77,$Y$11:$AB$32,4))&amp;IF(I77="","",VLOOKUP(I77,$Y$11:$AB$32,4))&amp;IF(H77="","",VLOOKUP(H77,$Y$11:$AB$32,4))&amp;IF(G77="","",VLOOKUP(G77,$Y$11:$AB$32,4))&amp;IF(F77="","",VLOOKUP(F77,$Y$11:$AB$32,4))&amp;IF(E77="","",VLOOKUP(E77,$Y$11:$AB$32,4))&amp;IF(D77="","",VLOOKUP(D77,$Y$11:$AB$32,4))</f>
        <v/>
      </c>
      <c r="U77" s="156">
        <f t="shared" si="6"/>
        <v>0</v>
      </c>
      <c r="V77" s="157"/>
      <c r="W77" s="124"/>
      <c r="X77" s="59"/>
      <c r="Y77" s="59"/>
      <c r="Z77" s="59"/>
      <c r="AA77" s="59"/>
      <c r="AB77" s="59"/>
      <c r="AC77" s="78"/>
    </row>
    <row r="78" spans="2:29" ht="20" customHeight="1">
      <c r="B78" s="77"/>
      <c r="C78" s="105">
        <f t="shared" si="4"/>
        <v>0</v>
      </c>
      <c r="D78" s="143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5"/>
      <c r="S78" s="146" t="str">
        <f t="shared" si="5"/>
        <v/>
      </c>
      <c r="T78" s="147" t="str">
        <f t="shared" si="7"/>
        <v/>
      </c>
      <c r="U78" s="148">
        <f t="shared" si="6"/>
        <v>0</v>
      </c>
      <c r="V78" s="149"/>
      <c r="W78" s="121"/>
      <c r="X78" s="59"/>
      <c r="Y78" s="59"/>
      <c r="Z78" s="59"/>
      <c r="AA78" s="59"/>
      <c r="AB78" s="59"/>
      <c r="AC78" s="78"/>
    </row>
    <row r="79" spans="2:29" ht="20" customHeight="1">
      <c r="B79" s="77"/>
      <c r="C79" s="106">
        <f t="shared" si="4"/>
        <v>0</v>
      </c>
      <c r="D79" s="151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3"/>
      <c r="S79" s="154" t="str">
        <f t="shared" si="5"/>
        <v/>
      </c>
      <c r="T79" s="155" t="str">
        <f t="shared" si="7"/>
        <v/>
      </c>
      <c r="U79" s="156">
        <f t="shared" si="6"/>
        <v>0</v>
      </c>
      <c r="V79" s="157"/>
      <c r="W79" s="124"/>
      <c r="X79" s="59"/>
      <c r="Y79" s="59"/>
      <c r="Z79" s="59"/>
      <c r="AA79" s="59"/>
      <c r="AB79" s="59"/>
      <c r="AC79" s="78"/>
    </row>
    <row r="80" spans="2:29" ht="20" customHeight="1">
      <c r="B80" s="77"/>
      <c r="C80" s="105">
        <f t="shared" si="4"/>
        <v>0</v>
      </c>
      <c r="D80" s="143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5"/>
      <c r="S80" s="146" t="str">
        <f t="shared" si="5"/>
        <v/>
      </c>
      <c r="T80" s="147" t="str">
        <f t="shared" si="7"/>
        <v/>
      </c>
      <c r="U80" s="148">
        <f t="shared" si="6"/>
        <v>0</v>
      </c>
      <c r="V80" s="149"/>
      <c r="W80" s="121"/>
      <c r="X80" s="59"/>
      <c r="Y80" s="59"/>
      <c r="Z80" s="59"/>
      <c r="AA80" s="59"/>
      <c r="AB80" s="59"/>
      <c r="AC80" s="78"/>
    </row>
    <row r="81" spans="2:29" ht="20" customHeight="1">
      <c r="B81" s="77"/>
      <c r="C81" s="106">
        <f t="shared" si="4"/>
        <v>0</v>
      </c>
      <c r="D81" s="151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3"/>
      <c r="S81" s="154" t="str">
        <f t="shared" si="5"/>
        <v/>
      </c>
      <c r="T81" s="155" t="str">
        <f t="shared" si="7"/>
        <v/>
      </c>
      <c r="U81" s="156">
        <f t="shared" si="6"/>
        <v>0</v>
      </c>
      <c r="V81" s="157"/>
      <c r="W81" s="124"/>
      <c r="X81" s="59"/>
      <c r="Y81" s="59"/>
      <c r="Z81" s="59"/>
      <c r="AA81" s="59"/>
      <c r="AB81" s="59"/>
      <c r="AC81" s="78"/>
    </row>
    <row r="82" spans="2:29" ht="20" customHeight="1">
      <c r="B82" s="77"/>
      <c r="C82" s="105">
        <f t="shared" si="4"/>
        <v>0</v>
      </c>
      <c r="D82" s="143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5"/>
      <c r="S82" s="146" t="str">
        <f t="shared" si="5"/>
        <v/>
      </c>
      <c r="T82" s="147" t="str">
        <f t="shared" si="7"/>
        <v/>
      </c>
      <c r="U82" s="148">
        <f t="shared" si="6"/>
        <v>0</v>
      </c>
      <c r="V82" s="149"/>
      <c r="W82" s="121"/>
      <c r="X82" s="59"/>
      <c r="Y82" s="59"/>
      <c r="Z82" s="59"/>
      <c r="AA82" s="59"/>
      <c r="AB82" s="59"/>
      <c r="AC82" s="78"/>
    </row>
    <row r="83" spans="2:29" ht="20" customHeight="1">
      <c r="B83" s="77"/>
      <c r="C83" s="106">
        <f t="shared" si="4"/>
        <v>0</v>
      </c>
      <c r="D83" s="151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3"/>
      <c r="S83" s="154" t="str">
        <f t="shared" si="5"/>
        <v/>
      </c>
      <c r="T83" s="155" t="str">
        <f t="shared" si="7"/>
        <v/>
      </c>
      <c r="U83" s="156">
        <f t="shared" si="6"/>
        <v>0</v>
      </c>
      <c r="V83" s="157"/>
      <c r="W83" s="124"/>
      <c r="X83" s="59"/>
      <c r="Y83" s="59"/>
      <c r="Z83" s="59"/>
      <c r="AA83" s="59"/>
      <c r="AB83" s="59"/>
      <c r="AC83" s="78"/>
    </row>
    <row r="84" spans="2:29" ht="20" customHeight="1">
      <c r="B84" s="77"/>
      <c r="C84" s="105">
        <f t="shared" si="4"/>
        <v>0</v>
      </c>
      <c r="D84" s="143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5"/>
      <c r="S84" s="146" t="str">
        <f t="shared" si="5"/>
        <v/>
      </c>
      <c r="T84" s="147" t="str">
        <f t="shared" si="7"/>
        <v/>
      </c>
      <c r="U84" s="148">
        <f t="shared" si="6"/>
        <v>0</v>
      </c>
      <c r="V84" s="149"/>
      <c r="W84" s="121"/>
      <c r="X84" s="59"/>
      <c r="Y84" s="59"/>
      <c r="Z84" s="59"/>
      <c r="AA84" s="59"/>
      <c r="AB84" s="59"/>
      <c r="AC84" s="78"/>
    </row>
    <row r="85" spans="2:29" ht="20" customHeight="1">
      <c r="B85" s="77"/>
      <c r="C85" s="106">
        <f t="shared" si="4"/>
        <v>0</v>
      </c>
      <c r="D85" s="151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3"/>
      <c r="S85" s="154" t="str">
        <f t="shared" si="5"/>
        <v/>
      </c>
      <c r="T85" s="155" t="str">
        <f t="shared" si="7"/>
        <v/>
      </c>
      <c r="U85" s="156">
        <f t="shared" si="6"/>
        <v>0</v>
      </c>
      <c r="V85" s="157"/>
      <c r="W85" s="124"/>
      <c r="X85" s="59"/>
      <c r="Y85" s="59"/>
      <c r="Z85" s="59"/>
      <c r="AA85" s="59"/>
      <c r="AB85" s="59"/>
      <c r="AC85" s="78"/>
    </row>
    <row r="86" spans="2:29" ht="20" customHeight="1">
      <c r="B86" s="77"/>
      <c r="C86" s="105">
        <f t="shared" si="4"/>
        <v>0</v>
      </c>
      <c r="D86" s="143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5"/>
      <c r="S86" s="146" t="str">
        <f t="shared" si="5"/>
        <v/>
      </c>
      <c r="T86" s="147" t="str">
        <f t="shared" si="7"/>
        <v/>
      </c>
      <c r="U86" s="148">
        <f t="shared" si="6"/>
        <v>0</v>
      </c>
      <c r="V86" s="149"/>
      <c r="W86" s="121"/>
      <c r="X86" s="59"/>
      <c r="Y86" s="59"/>
      <c r="Z86" s="59"/>
      <c r="AA86" s="59"/>
      <c r="AB86" s="59"/>
      <c r="AC86" s="78"/>
    </row>
    <row r="87" spans="2:29" ht="20" customHeight="1">
      <c r="B87" s="77"/>
      <c r="C87" s="106">
        <f t="shared" si="4"/>
        <v>0</v>
      </c>
      <c r="D87" s="151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3"/>
      <c r="S87" s="154" t="str">
        <f t="shared" si="5"/>
        <v/>
      </c>
      <c r="T87" s="155" t="str">
        <f t="shared" si="7"/>
        <v/>
      </c>
      <c r="U87" s="156">
        <f t="shared" si="6"/>
        <v>0</v>
      </c>
      <c r="V87" s="157"/>
      <c r="W87" s="124"/>
      <c r="X87" s="59"/>
      <c r="Y87" s="59"/>
      <c r="Z87" s="59"/>
      <c r="AA87" s="59"/>
      <c r="AB87" s="59"/>
      <c r="AC87" s="78"/>
    </row>
    <row r="88" spans="2:29" ht="20" customHeight="1">
      <c r="B88" s="77"/>
      <c r="C88" s="105">
        <f t="shared" si="4"/>
        <v>0</v>
      </c>
      <c r="D88" s="143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5"/>
      <c r="S88" s="146" t="str">
        <f t="shared" si="5"/>
        <v/>
      </c>
      <c r="T88" s="147" t="str">
        <f t="shared" si="7"/>
        <v/>
      </c>
      <c r="U88" s="148">
        <f t="shared" si="6"/>
        <v>0</v>
      </c>
      <c r="V88" s="149"/>
      <c r="W88" s="121"/>
      <c r="X88" s="59"/>
      <c r="Y88" s="59"/>
      <c r="Z88" s="59"/>
      <c r="AA88" s="59"/>
      <c r="AB88" s="59"/>
      <c r="AC88" s="78"/>
    </row>
    <row r="89" spans="2:29" ht="20" customHeight="1">
      <c r="B89" s="77"/>
      <c r="C89" s="106">
        <f t="shared" si="4"/>
        <v>0</v>
      </c>
      <c r="D89" s="151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3"/>
      <c r="S89" s="154" t="str">
        <f t="shared" si="5"/>
        <v/>
      </c>
      <c r="T89" s="155" t="str">
        <f t="shared" si="7"/>
        <v/>
      </c>
      <c r="U89" s="156">
        <f t="shared" si="6"/>
        <v>0</v>
      </c>
      <c r="V89" s="157"/>
      <c r="W89" s="124"/>
      <c r="X89" s="59"/>
      <c r="Y89" s="59"/>
      <c r="Z89" s="59"/>
      <c r="AA89" s="59"/>
      <c r="AB89" s="59"/>
      <c r="AC89" s="78"/>
    </row>
    <row r="90" spans="2:29" ht="20" customHeight="1">
      <c r="B90" s="77"/>
      <c r="C90" s="105">
        <f t="shared" si="4"/>
        <v>0</v>
      </c>
      <c r="D90" s="143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5"/>
      <c r="S90" s="146" t="str">
        <f t="shared" si="5"/>
        <v/>
      </c>
      <c r="T90" s="147" t="str">
        <f t="shared" si="7"/>
        <v/>
      </c>
      <c r="U90" s="148">
        <f t="shared" si="6"/>
        <v>0</v>
      </c>
      <c r="V90" s="149"/>
      <c r="W90" s="121"/>
      <c r="X90" s="59"/>
      <c r="Y90" s="59"/>
      <c r="Z90" s="59"/>
      <c r="AA90" s="59"/>
      <c r="AB90" s="59"/>
      <c r="AC90" s="78"/>
    </row>
    <row r="91" spans="2:29" ht="20" customHeight="1">
      <c r="B91" s="77"/>
      <c r="C91" s="106">
        <f t="shared" si="4"/>
        <v>0</v>
      </c>
      <c r="D91" s="151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3"/>
      <c r="S91" s="154" t="str">
        <f t="shared" si="5"/>
        <v/>
      </c>
      <c r="T91" s="155" t="str">
        <f t="shared" si="7"/>
        <v/>
      </c>
      <c r="U91" s="156">
        <f t="shared" si="6"/>
        <v>0</v>
      </c>
      <c r="V91" s="157"/>
      <c r="W91" s="124"/>
      <c r="X91" s="59"/>
      <c r="Y91" s="59"/>
      <c r="Z91" s="59"/>
      <c r="AA91" s="59"/>
      <c r="AB91" s="59"/>
      <c r="AC91" s="78"/>
    </row>
    <row r="92" spans="2:29" ht="20" customHeight="1">
      <c r="B92" s="77"/>
      <c r="C92" s="105">
        <f t="shared" si="4"/>
        <v>0</v>
      </c>
      <c r="D92" s="143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5"/>
      <c r="S92" s="146" t="str">
        <f t="shared" si="5"/>
        <v/>
      </c>
      <c r="T92" s="147" t="str">
        <f t="shared" si="7"/>
        <v/>
      </c>
      <c r="U92" s="148">
        <f t="shared" si="6"/>
        <v>0</v>
      </c>
      <c r="V92" s="149"/>
      <c r="W92" s="121"/>
      <c r="X92" s="59"/>
      <c r="Y92" s="59"/>
      <c r="Z92" s="59"/>
      <c r="AA92" s="59"/>
      <c r="AB92" s="59"/>
      <c r="AC92" s="78"/>
    </row>
    <row r="93" spans="2:29" ht="20" customHeight="1">
      <c r="B93" s="77"/>
      <c r="C93" s="106">
        <f t="shared" si="4"/>
        <v>0</v>
      </c>
      <c r="D93" s="151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3"/>
      <c r="S93" s="154" t="str">
        <f t="shared" si="5"/>
        <v/>
      </c>
      <c r="T93" s="155" t="str">
        <f t="shared" si="7"/>
        <v/>
      </c>
      <c r="U93" s="156">
        <f t="shared" si="6"/>
        <v>0</v>
      </c>
      <c r="V93" s="157"/>
      <c r="W93" s="124"/>
      <c r="X93" s="59"/>
      <c r="Y93" s="59"/>
      <c r="Z93" s="59"/>
      <c r="AA93" s="59"/>
      <c r="AB93" s="59"/>
      <c r="AC93" s="78"/>
    </row>
    <row r="94" spans="2:29" ht="20" customHeight="1">
      <c r="B94" s="77"/>
      <c r="C94" s="105">
        <f t="shared" si="4"/>
        <v>0</v>
      </c>
      <c r="D94" s="143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5"/>
      <c r="S94" s="146" t="str">
        <f t="shared" si="5"/>
        <v/>
      </c>
      <c r="T94" s="147" t="str">
        <f t="shared" si="7"/>
        <v/>
      </c>
      <c r="U94" s="148">
        <f t="shared" si="6"/>
        <v>0</v>
      </c>
      <c r="V94" s="149"/>
      <c r="W94" s="121"/>
      <c r="X94" s="59"/>
      <c r="Y94" s="59"/>
      <c r="Z94" s="59"/>
      <c r="AA94" s="59"/>
      <c r="AB94" s="59"/>
      <c r="AC94" s="78"/>
    </row>
    <row r="95" spans="2:29" ht="20" customHeight="1">
      <c r="B95" s="77"/>
      <c r="C95" s="106">
        <f t="shared" si="4"/>
        <v>0</v>
      </c>
      <c r="D95" s="151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3"/>
      <c r="S95" s="154" t="str">
        <f t="shared" si="5"/>
        <v/>
      </c>
      <c r="T95" s="155" t="str">
        <f t="shared" si="7"/>
        <v/>
      </c>
      <c r="U95" s="156">
        <f t="shared" si="6"/>
        <v>0</v>
      </c>
      <c r="V95" s="157"/>
      <c r="W95" s="124"/>
      <c r="X95" s="59"/>
      <c r="Y95" s="59"/>
      <c r="Z95" s="59"/>
      <c r="AA95" s="59"/>
      <c r="AB95" s="59"/>
      <c r="AC95" s="78"/>
    </row>
    <row r="96" spans="2:29" ht="20" customHeight="1">
      <c r="B96" s="77"/>
      <c r="C96" s="105">
        <f t="shared" si="4"/>
        <v>0</v>
      </c>
      <c r="D96" s="143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5"/>
      <c r="S96" s="146" t="str">
        <f t="shared" si="5"/>
        <v/>
      </c>
      <c r="T96" s="147" t="str">
        <f t="shared" si="7"/>
        <v/>
      </c>
      <c r="U96" s="148">
        <f t="shared" si="6"/>
        <v>0</v>
      </c>
      <c r="V96" s="149"/>
      <c r="W96" s="121"/>
      <c r="X96" s="59"/>
      <c r="Y96" s="59"/>
      <c r="Z96" s="59"/>
      <c r="AA96" s="59"/>
      <c r="AB96" s="59"/>
      <c r="AC96" s="78"/>
    </row>
    <row r="97" spans="2:29" ht="20" customHeight="1">
      <c r="B97" s="77"/>
      <c r="C97" s="106">
        <f t="shared" si="4"/>
        <v>0</v>
      </c>
      <c r="D97" s="151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3"/>
      <c r="S97" s="154" t="str">
        <f t="shared" si="5"/>
        <v/>
      </c>
      <c r="T97" s="155" t="str">
        <f t="shared" si="7"/>
        <v/>
      </c>
      <c r="U97" s="156">
        <f t="shared" si="6"/>
        <v>0</v>
      </c>
      <c r="V97" s="157"/>
      <c r="W97" s="124"/>
      <c r="X97" s="59"/>
      <c r="Y97" s="59"/>
      <c r="Z97" s="59"/>
      <c r="AA97" s="59"/>
      <c r="AB97" s="59"/>
      <c r="AC97" s="78"/>
    </row>
    <row r="98" spans="2:29" ht="20" customHeight="1">
      <c r="B98" s="77"/>
      <c r="C98" s="105">
        <f t="shared" si="4"/>
        <v>0</v>
      </c>
      <c r="D98" s="143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5"/>
      <c r="S98" s="146" t="str">
        <f t="shared" si="5"/>
        <v/>
      </c>
      <c r="T98" s="147" t="str">
        <f t="shared" si="7"/>
        <v/>
      </c>
      <c r="U98" s="148">
        <f t="shared" si="6"/>
        <v>0</v>
      </c>
      <c r="V98" s="149"/>
      <c r="W98" s="121"/>
      <c r="X98" s="59"/>
      <c r="Y98" s="59"/>
      <c r="Z98" s="59"/>
      <c r="AA98" s="59"/>
      <c r="AB98" s="59"/>
      <c r="AC98" s="78"/>
    </row>
    <row r="99" spans="2:29" ht="20" customHeight="1">
      <c r="B99" s="77"/>
      <c r="C99" s="106">
        <f t="shared" si="4"/>
        <v>0</v>
      </c>
      <c r="D99" s="151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3"/>
      <c r="S99" s="154" t="str">
        <f t="shared" si="5"/>
        <v/>
      </c>
      <c r="T99" s="155" t="str">
        <f t="shared" si="7"/>
        <v/>
      </c>
      <c r="U99" s="156">
        <f t="shared" si="6"/>
        <v>0</v>
      </c>
      <c r="V99" s="157"/>
      <c r="W99" s="124"/>
      <c r="X99" s="59"/>
      <c r="Y99" s="59"/>
      <c r="Z99" s="59"/>
      <c r="AA99" s="59"/>
      <c r="AB99" s="59"/>
      <c r="AC99" s="78"/>
    </row>
    <row r="100" spans="2:29" ht="20" customHeight="1">
      <c r="B100" s="77"/>
      <c r="C100" s="105">
        <f t="shared" si="4"/>
        <v>0</v>
      </c>
      <c r="D100" s="143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5"/>
      <c r="S100" s="146" t="str">
        <f t="shared" si="5"/>
        <v/>
      </c>
      <c r="T100" s="147" t="str">
        <f t="shared" si="7"/>
        <v/>
      </c>
      <c r="U100" s="148">
        <f t="shared" si="6"/>
        <v>0</v>
      </c>
      <c r="V100" s="149"/>
      <c r="W100" s="121"/>
      <c r="X100" s="59"/>
      <c r="Y100" s="59"/>
      <c r="Z100" s="59"/>
      <c r="AA100" s="59"/>
      <c r="AB100" s="59"/>
      <c r="AC100" s="78"/>
    </row>
    <row r="101" spans="2:29" ht="20" customHeight="1">
      <c r="B101" s="77"/>
      <c r="C101" s="106">
        <f t="shared" si="4"/>
        <v>0</v>
      </c>
      <c r="D101" s="151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3"/>
      <c r="S101" s="154" t="str">
        <f t="shared" si="5"/>
        <v/>
      </c>
      <c r="T101" s="155" t="str">
        <f t="shared" si="7"/>
        <v/>
      </c>
      <c r="U101" s="156">
        <f t="shared" si="6"/>
        <v>0</v>
      </c>
      <c r="V101" s="157"/>
      <c r="W101" s="124"/>
      <c r="X101" s="59"/>
      <c r="Y101" s="59"/>
      <c r="Z101" s="59"/>
      <c r="AA101" s="59"/>
      <c r="AB101" s="59"/>
      <c r="AC101" s="78"/>
    </row>
    <row r="102" spans="2:29" ht="20" customHeight="1">
      <c r="B102" s="77"/>
      <c r="C102" s="105">
        <f t="shared" si="4"/>
        <v>0</v>
      </c>
      <c r="D102" s="143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5"/>
      <c r="S102" s="146" t="str">
        <f t="shared" si="5"/>
        <v/>
      </c>
      <c r="T102" s="147" t="str">
        <f t="shared" si="7"/>
        <v/>
      </c>
      <c r="U102" s="148">
        <f t="shared" si="6"/>
        <v>0</v>
      </c>
      <c r="V102" s="149"/>
      <c r="W102" s="121"/>
      <c r="X102" s="59"/>
      <c r="Y102" s="59"/>
      <c r="Z102" s="59"/>
      <c r="AA102" s="59"/>
      <c r="AB102" s="59"/>
      <c r="AC102" s="78"/>
    </row>
    <row r="103" spans="2:29" ht="20" customHeight="1">
      <c r="B103" s="77"/>
      <c r="C103" s="106">
        <f t="shared" si="4"/>
        <v>0</v>
      </c>
      <c r="D103" s="151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3"/>
      <c r="S103" s="154" t="str">
        <f t="shared" si="5"/>
        <v/>
      </c>
      <c r="T103" s="155" t="str">
        <f t="shared" si="7"/>
        <v/>
      </c>
      <c r="U103" s="156">
        <f t="shared" si="6"/>
        <v>0</v>
      </c>
      <c r="V103" s="157"/>
      <c r="W103" s="124"/>
      <c r="X103" s="59"/>
      <c r="Y103" s="59"/>
      <c r="Z103" s="59"/>
      <c r="AA103" s="59"/>
      <c r="AB103" s="59"/>
      <c r="AC103" s="78"/>
    </row>
    <row r="104" spans="2:29" ht="20" customHeight="1">
      <c r="B104" s="77"/>
      <c r="C104" s="105">
        <f t="shared" si="4"/>
        <v>0</v>
      </c>
      <c r="D104" s="143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5"/>
      <c r="S104" s="146" t="str">
        <f t="shared" si="5"/>
        <v/>
      </c>
      <c r="T104" s="147" t="str">
        <f t="shared" si="7"/>
        <v/>
      </c>
      <c r="U104" s="148">
        <f t="shared" si="6"/>
        <v>0</v>
      </c>
      <c r="V104" s="149"/>
      <c r="W104" s="121"/>
      <c r="X104" s="59"/>
      <c r="Y104" s="59"/>
      <c r="Z104" s="59"/>
      <c r="AA104" s="59"/>
      <c r="AB104" s="59"/>
      <c r="AC104" s="78"/>
    </row>
    <row r="105" spans="2:29" ht="20" customHeight="1">
      <c r="B105" s="77"/>
      <c r="C105" s="106">
        <f t="shared" si="4"/>
        <v>0</v>
      </c>
      <c r="D105" s="151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3"/>
      <c r="S105" s="154" t="str">
        <f t="shared" si="5"/>
        <v/>
      </c>
      <c r="T105" s="155" t="str">
        <f t="shared" si="7"/>
        <v/>
      </c>
      <c r="U105" s="156">
        <f t="shared" si="6"/>
        <v>0</v>
      </c>
      <c r="V105" s="157"/>
      <c r="W105" s="124"/>
      <c r="X105" s="59"/>
      <c r="Y105" s="59"/>
      <c r="Z105" s="59"/>
      <c r="AA105" s="59"/>
      <c r="AB105" s="59"/>
      <c r="AC105" s="78"/>
    </row>
    <row r="106" spans="2:29" ht="20" customHeight="1">
      <c r="B106" s="77"/>
      <c r="C106" s="105">
        <f t="shared" si="4"/>
        <v>0</v>
      </c>
      <c r="D106" s="143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5"/>
      <c r="S106" s="146" t="str">
        <f t="shared" si="5"/>
        <v/>
      </c>
      <c r="T106" s="147" t="str">
        <f t="shared" si="7"/>
        <v/>
      </c>
      <c r="U106" s="148">
        <f t="shared" si="6"/>
        <v>0</v>
      </c>
      <c r="V106" s="149"/>
      <c r="W106" s="121"/>
      <c r="X106" s="59"/>
      <c r="Y106" s="59"/>
      <c r="Z106" s="59"/>
      <c r="AA106" s="59"/>
      <c r="AB106" s="59"/>
      <c r="AC106" s="78"/>
    </row>
    <row r="107" spans="2:29" ht="20" customHeight="1">
      <c r="B107" s="77"/>
      <c r="C107" s="106">
        <f t="shared" si="4"/>
        <v>0</v>
      </c>
      <c r="D107" s="151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3"/>
      <c r="S107" s="154" t="str">
        <f t="shared" si="5"/>
        <v/>
      </c>
      <c r="T107" s="155" t="str">
        <f t="shared" si="7"/>
        <v/>
      </c>
      <c r="U107" s="156">
        <f t="shared" si="6"/>
        <v>0</v>
      </c>
      <c r="V107" s="157"/>
      <c r="W107" s="124"/>
      <c r="X107" s="59"/>
      <c r="Y107" s="59"/>
      <c r="Z107" s="59"/>
      <c r="AA107" s="59"/>
      <c r="AB107" s="59"/>
      <c r="AC107" s="78"/>
    </row>
    <row r="108" spans="2:29" ht="20" customHeight="1">
      <c r="B108" s="77"/>
      <c r="C108" s="105">
        <f t="shared" si="4"/>
        <v>0</v>
      </c>
      <c r="D108" s="143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5"/>
      <c r="S108" s="146" t="str">
        <f t="shared" si="5"/>
        <v/>
      </c>
      <c r="T108" s="147" t="str">
        <f t="shared" si="7"/>
        <v/>
      </c>
      <c r="U108" s="148">
        <f t="shared" si="6"/>
        <v>0</v>
      </c>
      <c r="V108" s="149"/>
      <c r="W108" s="121"/>
      <c r="X108" s="59"/>
      <c r="Y108" s="59"/>
      <c r="Z108" s="59"/>
      <c r="AA108" s="59"/>
      <c r="AB108" s="59"/>
      <c r="AC108" s="78"/>
    </row>
    <row r="109" spans="2:29" ht="20" customHeight="1">
      <c r="B109" s="77"/>
      <c r="C109" s="106">
        <f t="shared" si="4"/>
        <v>0</v>
      </c>
      <c r="D109" s="151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3"/>
      <c r="S109" s="154" t="str">
        <f t="shared" si="5"/>
        <v/>
      </c>
      <c r="T109" s="155" t="str">
        <f t="shared" si="7"/>
        <v/>
      </c>
      <c r="U109" s="156">
        <f t="shared" si="6"/>
        <v>0</v>
      </c>
      <c r="V109" s="157"/>
      <c r="W109" s="124"/>
      <c r="X109" s="59"/>
      <c r="Y109" s="59"/>
      <c r="Z109" s="59"/>
      <c r="AA109" s="59"/>
      <c r="AB109" s="59"/>
      <c r="AC109" s="78"/>
    </row>
    <row r="110" spans="2:29" ht="20" customHeight="1">
      <c r="B110" s="77"/>
      <c r="C110" s="105">
        <f t="shared" si="4"/>
        <v>0</v>
      </c>
      <c r="D110" s="143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5"/>
      <c r="S110" s="146" t="str">
        <f t="shared" si="5"/>
        <v/>
      </c>
      <c r="T110" s="147" t="str">
        <f t="shared" si="7"/>
        <v/>
      </c>
      <c r="U110" s="148">
        <f t="shared" si="6"/>
        <v>0</v>
      </c>
      <c r="V110" s="149"/>
      <c r="W110" s="121"/>
      <c r="X110" s="59"/>
      <c r="Y110" s="59"/>
      <c r="Z110" s="59"/>
      <c r="AA110" s="59"/>
      <c r="AB110" s="59"/>
      <c r="AC110" s="78"/>
    </row>
    <row r="111" spans="2:29" ht="20" customHeight="1">
      <c r="B111" s="77"/>
      <c r="C111" s="106">
        <f t="shared" si="4"/>
        <v>0</v>
      </c>
      <c r="D111" s="151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3"/>
      <c r="S111" s="154" t="str">
        <f t="shared" si="5"/>
        <v/>
      </c>
      <c r="T111" s="155" t="str">
        <f t="shared" si="7"/>
        <v/>
      </c>
      <c r="U111" s="156">
        <f t="shared" si="6"/>
        <v>0</v>
      </c>
      <c r="V111" s="157"/>
      <c r="W111" s="124"/>
      <c r="X111" s="59"/>
      <c r="Y111" s="59"/>
      <c r="Z111" s="59"/>
      <c r="AA111" s="59"/>
      <c r="AB111" s="59"/>
      <c r="AC111" s="78"/>
    </row>
    <row r="112" spans="2:29" ht="20" customHeight="1">
      <c r="B112" s="77"/>
      <c r="C112" s="105">
        <f t="shared" si="4"/>
        <v>0</v>
      </c>
      <c r="D112" s="143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5"/>
      <c r="S112" s="146" t="str">
        <f t="shared" si="5"/>
        <v/>
      </c>
      <c r="T112" s="147" t="str">
        <f t="shared" si="7"/>
        <v/>
      </c>
      <c r="U112" s="148">
        <f t="shared" si="6"/>
        <v>0</v>
      </c>
      <c r="V112" s="149"/>
      <c r="W112" s="121"/>
      <c r="X112" s="59"/>
      <c r="Y112" s="59"/>
      <c r="Z112" s="59"/>
      <c r="AA112" s="59"/>
      <c r="AB112" s="59"/>
      <c r="AC112" s="78"/>
    </row>
    <row r="113" spans="2:29" ht="20" customHeight="1">
      <c r="B113" s="77"/>
      <c r="C113" s="106">
        <f t="shared" si="4"/>
        <v>0</v>
      </c>
      <c r="D113" s="151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3"/>
      <c r="S113" s="154" t="str">
        <f t="shared" si="5"/>
        <v/>
      </c>
      <c r="T113" s="155" t="str">
        <f t="shared" si="7"/>
        <v/>
      </c>
      <c r="U113" s="156">
        <f t="shared" si="6"/>
        <v>0</v>
      </c>
      <c r="V113" s="157"/>
      <c r="W113" s="124"/>
      <c r="X113" s="59"/>
      <c r="Y113" s="59"/>
      <c r="Z113" s="59"/>
      <c r="AA113" s="59"/>
      <c r="AB113" s="59"/>
      <c r="AC113" s="78"/>
    </row>
    <row r="114" spans="2:29" ht="20" customHeight="1">
      <c r="B114" s="77"/>
      <c r="C114" s="105">
        <f t="shared" si="4"/>
        <v>0</v>
      </c>
      <c r="D114" s="143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5"/>
      <c r="S114" s="146" t="str">
        <f t="shared" si="5"/>
        <v/>
      </c>
      <c r="T114" s="147" t="str">
        <f t="shared" si="7"/>
        <v/>
      </c>
      <c r="U114" s="148">
        <f t="shared" si="6"/>
        <v>0</v>
      </c>
      <c r="V114" s="149"/>
      <c r="W114" s="121"/>
      <c r="X114" s="59"/>
      <c r="Y114" s="59"/>
      <c r="Z114" s="59"/>
      <c r="AA114" s="59"/>
      <c r="AB114" s="59"/>
      <c r="AC114" s="78"/>
    </row>
    <row r="115" spans="2:29" ht="20" customHeight="1">
      <c r="B115" s="77"/>
      <c r="C115" s="106">
        <f t="shared" si="4"/>
        <v>0</v>
      </c>
      <c r="D115" s="151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3"/>
      <c r="S115" s="154" t="str">
        <f t="shared" si="5"/>
        <v/>
      </c>
      <c r="T115" s="155" t="str">
        <f t="shared" si="7"/>
        <v/>
      </c>
      <c r="U115" s="156">
        <f t="shared" si="6"/>
        <v>0</v>
      </c>
      <c r="V115" s="157"/>
      <c r="W115" s="124"/>
      <c r="X115" s="59"/>
      <c r="Y115" s="59"/>
      <c r="Z115" s="59"/>
      <c r="AA115" s="59"/>
      <c r="AB115" s="59"/>
      <c r="AC115" s="78"/>
    </row>
    <row r="116" spans="2:29" ht="20" customHeight="1">
      <c r="B116" s="77"/>
      <c r="C116" s="105">
        <f t="shared" si="4"/>
        <v>0</v>
      </c>
      <c r="D116" s="143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5"/>
      <c r="S116" s="146" t="str">
        <f t="shared" si="5"/>
        <v/>
      </c>
      <c r="T116" s="147" t="str">
        <f t="shared" si="7"/>
        <v/>
      </c>
      <c r="U116" s="148">
        <f t="shared" si="6"/>
        <v>0</v>
      </c>
      <c r="V116" s="149"/>
      <c r="W116" s="121"/>
      <c r="X116" s="59"/>
      <c r="Y116" s="59"/>
      <c r="Z116" s="59"/>
      <c r="AA116" s="59"/>
      <c r="AB116" s="59"/>
      <c r="AC116" s="78"/>
    </row>
    <row r="117" spans="2:29" ht="20" customHeight="1">
      <c r="B117" s="77"/>
      <c r="C117" s="106">
        <f t="shared" si="4"/>
        <v>0</v>
      </c>
      <c r="D117" s="151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3"/>
      <c r="S117" s="154" t="str">
        <f t="shared" si="5"/>
        <v/>
      </c>
      <c r="T117" s="155" t="str">
        <f t="shared" si="7"/>
        <v/>
      </c>
      <c r="U117" s="156">
        <f t="shared" si="6"/>
        <v>0</v>
      </c>
      <c r="V117" s="157"/>
      <c r="W117" s="124"/>
      <c r="X117" s="59"/>
      <c r="Y117" s="59"/>
      <c r="Z117" s="59"/>
      <c r="AA117" s="59"/>
      <c r="AB117" s="59"/>
      <c r="AC117" s="78"/>
    </row>
    <row r="118" spans="2:29" ht="20" customHeight="1">
      <c r="B118" s="77"/>
      <c r="C118" s="105">
        <f t="shared" si="4"/>
        <v>0</v>
      </c>
      <c r="D118" s="143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5"/>
      <c r="S118" s="146" t="str">
        <f t="shared" si="5"/>
        <v/>
      </c>
      <c r="T118" s="147" t="str">
        <f t="shared" si="7"/>
        <v/>
      </c>
      <c r="U118" s="148">
        <f t="shared" si="6"/>
        <v>0</v>
      </c>
      <c r="V118" s="149"/>
      <c r="W118" s="121"/>
      <c r="X118" s="59"/>
      <c r="Y118" s="59"/>
      <c r="Z118" s="59"/>
      <c r="AA118" s="59"/>
      <c r="AB118" s="59"/>
      <c r="AC118" s="78"/>
    </row>
    <row r="119" spans="2:29" ht="20" customHeight="1">
      <c r="B119" s="77"/>
      <c r="C119" s="106">
        <f t="shared" si="4"/>
        <v>0</v>
      </c>
      <c r="D119" s="151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3"/>
      <c r="S119" s="154" t="str">
        <f t="shared" si="5"/>
        <v/>
      </c>
      <c r="T119" s="155" t="str">
        <f t="shared" si="7"/>
        <v/>
      </c>
      <c r="U119" s="156">
        <f t="shared" si="6"/>
        <v>0</v>
      </c>
      <c r="V119" s="157"/>
      <c r="W119" s="124"/>
      <c r="X119" s="59"/>
      <c r="Y119" s="59"/>
      <c r="Z119" s="59"/>
      <c r="AA119" s="59"/>
      <c r="AB119" s="59"/>
      <c r="AC119" s="78"/>
    </row>
    <row r="120" spans="2:29" ht="20" customHeight="1">
      <c r="B120" s="77"/>
      <c r="C120" s="105">
        <f t="shared" si="4"/>
        <v>0</v>
      </c>
      <c r="D120" s="143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5"/>
      <c r="S120" s="146" t="str">
        <f t="shared" si="5"/>
        <v/>
      </c>
      <c r="T120" s="147" t="str">
        <f t="shared" si="7"/>
        <v/>
      </c>
      <c r="U120" s="148">
        <f t="shared" si="6"/>
        <v>0</v>
      </c>
      <c r="V120" s="149"/>
      <c r="W120" s="121"/>
      <c r="X120" s="59"/>
      <c r="Y120" s="59"/>
      <c r="Z120" s="59"/>
      <c r="AA120" s="59"/>
      <c r="AB120" s="59"/>
      <c r="AC120" s="78"/>
    </row>
    <row r="121" spans="2:29" ht="20" customHeight="1">
      <c r="B121" s="77"/>
      <c r="C121" s="106">
        <f t="shared" si="4"/>
        <v>0</v>
      </c>
      <c r="D121" s="151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3"/>
      <c r="S121" s="154" t="str">
        <f t="shared" si="5"/>
        <v/>
      </c>
      <c r="T121" s="155" t="str">
        <f t="shared" si="7"/>
        <v/>
      </c>
      <c r="U121" s="156">
        <f t="shared" si="6"/>
        <v>0</v>
      </c>
      <c r="V121" s="157"/>
      <c r="W121" s="124"/>
      <c r="X121" s="59"/>
      <c r="Y121" s="59"/>
      <c r="Z121" s="59"/>
      <c r="AA121" s="59"/>
      <c r="AB121" s="59"/>
      <c r="AC121" s="78"/>
    </row>
    <row r="122" spans="2:29" ht="20" customHeight="1">
      <c r="B122" s="77"/>
      <c r="C122" s="105">
        <f t="shared" si="4"/>
        <v>0</v>
      </c>
      <c r="D122" s="143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5"/>
      <c r="S122" s="146" t="str">
        <f t="shared" si="5"/>
        <v/>
      </c>
      <c r="T122" s="147" t="str">
        <f t="shared" si="7"/>
        <v/>
      </c>
      <c r="U122" s="148">
        <f t="shared" si="6"/>
        <v>0</v>
      </c>
      <c r="V122" s="149"/>
      <c r="W122" s="121"/>
      <c r="X122" s="59"/>
      <c r="Y122" s="59"/>
      <c r="Z122" s="59"/>
      <c r="AA122" s="59"/>
      <c r="AB122" s="59"/>
      <c r="AC122" s="78"/>
    </row>
    <row r="123" spans="2:29" ht="20" customHeight="1">
      <c r="B123" s="77"/>
      <c r="C123" s="106">
        <f t="shared" si="4"/>
        <v>0</v>
      </c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3"/>
      <c r="S123" s="154" t="str">
        <f t="shared" si="5"/>
        <v/>
      </c>
      <c r="T123" s="155" t="str">
        <f t="shared" si="7"/>
        <v/>
      </c>
      <c r="U123" s="156">
        <f t="shared" si="6"/>
        <v>0</v>
      </c>
      <c r="V123" s="157"/>
      <c r="W123" s="124"/>
      <c r="X123" s="59"/>
      <c r="Y123" s="59"/>
      <c r="Z123" s="59"/>
      <c r="AA123" s="59"/>
      <c r="AB123" s="59"/>
      <c r="AC123" s="78"/>
    </row>
    <row r="124" spans="2:29" ht="20" customHeight="1">
      <c r="B124" s="77"/>
      <c r="C124" s="105">
        <f t="shared" si="4"/>
        <v>0</v>
      </c>
      <c r="D124" s="143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5"/>
      <c r="S124" s="146" t="str">
        <f t="shared" si="5"/>
        <v/>
      </c>
      <c r="T124" s="147" t="str">
        <f t="shared" si="7"/>
        <v/>
      </c>
      <c r="U124" s="148">
        <f t="shared" si="6"/>
        <v>0</v>
      </c>
      <c r="V124" s="149"/>
      <c r="W124" s="121"/>
      <c r="X124" s="59"/>
      <c r="Y124" s="59"/>
      <c r="Z124" s="59"/>
      <c r="AA124" s="59"/>
      <c r="AB124" s="59"/>
      <c r="AC124" s="78"/>
    </row>
    <row r="125" spans="2:29" ht="20" customHeight="1">
      <c r="B125" s="77"/>
      <c r="C125" s="106">
        <f t="shared" si="4"/>
        <v>0</v>
      </c>
      <c r="D125" s="151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3"/>
      <c r="S125" s="154" t="str">
        <f t="shared" si="5"/>
        <v/>
      </c>
      <c r="T125" s="155" t="str">
        <f t="shared" si="7"/>
        <v/>
      </c>
      <c r="U125" s="156">
        <f t="shared" si="6"/>
        <v>0</v>
      </c>
      <c r="V125" s="157"/>
      <c r="W125" s="124"/>
      <c r="X125" s="59"/>
      <c r="Y125" s="59"/>
      <c r="Z125" s="59"/>
      <c r="AA125" s="59"/>
      <c r="AB125" s="59"/>
      <c r="AC125" s="78"/>
    </row>
    <row r="126" spans="2:29" ht="20" customHeight="1">
      <c r="B126" s="77"/>
      <c r="C126" s="105">
        <f t="shared" si="4"/>
        <v>0</v>
      </c>
      <c r="D126" s="143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5"/>
      <c r="S126" s="146" t="str">
        <f t="shared" si="5"/>
        <v/>
      </c>
      <c r="T126" s="147" t="str">
        <f t="shared" si="7"/>
        <v/>
      </c>
      <c r="U126" s="148">
        <f t="shared" si="6"/>
        <v>0</v>
      </c>
      <c r="V126" s="149"/>
      <c r="W126" s="121"/>
      <c r="X126" s="59"/>
      <c r="Y126" s="59"/>
      <c r="Z126" s="59"/>
      <c r="AA126" s="59"/>
      <c r="AB126" s="59"/>
      <c r="AC126" s="78"/>
    </row>
    <row r="127" spans="2:29" ht="20" customHeight="1">
      <c r="B127" s="77"/>
      <c r="C127" s="106">
        <f t="shared" si="4"/>
        <v>0</v>
      </c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3"/>
      <c r="S127" s="154" t="str">
        <f t="shared" si="5"/>
        <v/>
      </c>
      <c r="T127" s="155" t="str">
        <f t="shared" si="7"/>
        <v/>
      </c>
      <c r="U127" s="156">
        <f t="shared" si="6"/>
        <v>0</v>
      </c>
      <c r="V127" s="157"/>
      <c r="W127" s="124"/>
      <c r="X127" s="59"/>
      <c r="Y127" s="59"/>
      <c r="Z127" s="59"/>
      <c r="AA127" s="59"/>
      <c r="AB127" s="59"/>
      <c r="AC127" s="78"/>
    </row>
    <row r="128" spans="2:29" ht="20" customHeight="1">
      <c r="B128" s="77"/>
      <c r="C128" s="105">
        <f t="shared" si="4"/>
        <v>0</v>
      </c>
      <c r="D128" s="143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5"/>
      <c r="S128" s="146" t="str">
        <f t="shared" si="5"/>
        <v/>
      </c>
      <c r="T128" s="147" t="str">
        <f t="shared" si="7"/>
        <v/>
      </c>
      <c r="U128" s="148">
        <f t="shared" si="6"/>
        <v>0</v>
      </c>
      <c r="V128" s="149"/>
      <c r="W128" s="121"/>
      <c r="X128" s="59"/>
      <c r="Y128" s="59"/>
      <c r="Z128" s="59"/>
      <c r="AA128" s="59"/>
      <c r="AB128" s="59"/>
      <c r="AC128" s="78"/>
    </row>
    <row r="129" spans="2:29" ht="20" customHeight="1">
      <c r="B129" s="77"/>
      <c r="C129" s="106">
        <f t="shared" si="4"/>
        <v>0</v>
      </c>
      <c r="D129" s="151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3"/>
      <c r="S129" s="154" t="str">
        <f t="shared" si="5"/>
        <v/>
      </c>
      <c r="T129" s="155" t="str">
        <f t="shared" si="7"/>
        <v/>
      </c>
      <c r="U129" s="156">
        <f t="shared" si="6"/>
        <v>0</v>
      </c>
      <c r="V129" s="157"/>
      <c r="W129" s="124"/>
      <c r="X129" s="59"/>
      <c r="Y129" s="59"/>
      <c r="Z129" s="59"/>
      <c r="AA129" s="59"/>
      <c r="AB129" s="59"/>
      <c r="AC129" s="78"/>
    </row>
    <row r="130" spans="2:29" ht="20" customHeight="1">
      <c r="B130" s="77"/>
      <c r="C130" s="105">
        <f t="shared" si="4"/>
        <v>0</v>
      </c>
      <c r="D130" s="143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5"/>
      <c r="S130" s="146" t="str">
        <f t="shared" si="5"/>
        <v/>
      </c>
      <c r="T130" s="147" t="str">
        <f t="shared" si="7"/>
        <v/>
      </c>
      <c r="U130" s="148">
        <f t="shared" si="6"/>
        <v>0</v>
      </c>
      <c r="V130" s="149"/>
      <c r="W130" s="121"/>
      <c r="X130" s="59"/>
      <c r="Y130" s="59"/>
      <c r="Z130" s="59"/>
      <c r="AA130" s="59"/>
      <c r="AB130" s="59"/>
      <c r="AC130" s="78"/>
    </row>
    <row r="131" spans="2:29" ht="20" customHeight="1">
      <c r="B131" s="77"/>
      <c r="C131" s="106">
        <f t="shared" si="4"/>
        <v>0</v>
      </c>
      <c r="D131" s="151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3"/>
      <c r="S131" s="154" t="str">
        <f t="shared" si="5"/>
        <v/>
      </c>
      <c r="T131" s="155" t="str">
        <f t="shared" si="7"/>
        <v/>
      </c>
      <c r="U131" s="156">
        <f t="shared" si="6"/>
        <v>0</v>
      </c>
      <c r="V131" s="157"/>
      <c r="W131" s="124"/>
      <c r="X131" s="59"/>
      <c r="Y131" s="59"/>
      <c r="Z131" s="59"/>
      <c r="AA131" s="59"/>
      <c r="AB131" s="59"/>
      <c r="AC131" s="78"/>
    </row>
    <row r="132" spans="2:29" ht="20" customHeight="1">
      <c r="B132" s="77"/>
      <c r="C132" s="105">
        <f t="shared" si="4"/>
        <v>0</v>
      </c>
      <c r="D132" s="143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5"/>
      <c r="S132" s="146" t="str">
        <f t="shared" si="5"/>
        <v/>
      </c>
      <c r="T132" s="147" t="str">
        <f t="shared" si="7"/>
        <v/>
      </c>
      <c r="U132" s="148">
        <f t="shared" si="6"/>
        <v>0</v>
      </c>
      <c r="V132" s="149"/>
      <c r="W132" s="121"/>
      <c r="X132" s="59"/>
      <c r="Y132" s="59"/>
      <c r="Z132" s="59"/>
      <c r="AA132" s="59"/>
      <c r="AB132" s="59"/>
      <c r="AC132" s="78"/>
    </row>
    <row r="133" spans="2:29" ht="20" customHeight="1">
      <c r="B133" s="77"/>
      <c r="C133" s="106">
        <f t="shared" si="4"/>
        <v>0</v>
      </c>
      <c r="D133" s="151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3"/>
      <c r="S133" s="154" t="str">
        <f t="shared" si="5"/>
        <v/>
      </c>
      <c r="T133" s="155" t="str">
        <f t="shared" si="7"/>
        <v/>
      </c>
      <c r="U133" s="156">
        <f t="shared" si="6"/>
        <v>0</v>
      </c>
      <c r="V133" s="157"/>
      <c r="W133" s="124"/>
      <c r="X133" s="59"/>
      <c r="Y133" s="59"/>
      <c r="Z133" s="59"/>
      <c r="AA133" s="59"/>
      <c r="AB133" s="59"/>
      <c r="AC133" s="78"/>
    </row>
    <row r="134" spans="2:29" ht="20" customHeight="1">
      <c r="B134" s="77"/>
      <c r="C134" s="105">
        <f t="shared" si="4"/>
        <v>0</v>
      </c>
      <c r="D134" s="143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5"/>
      <c r="S134" s="146" t="str">
        <f t="shared" si="5"/>
        <v/>
      </c>
      <c r="T134" s="147" t="str">
        <f t="shared" si="7"/>
        <v/>
      </c>
      <c r="U134" s="148">
        <f t="shared" si="6"/>
        <v>0</v>
      </c>
      <c r="V134" s="149"/>
      <c r="W134" s="121"/>
      <c r="X134" s="59"/>
      <c r="Y134" s="59"/>
      <c r="Z134" s="59"/>
      <c r="AA134" s="59"/>
      <c r="AB134" s="59"/>
      <c r="AC134" s="78"/>
    </row>
    <row r="135" spans="2:29" ht="20" customHeight="1">
      <c r="B135" s="77"/>
      <c r="C135" s="106">
        <f t="shared" si="4"/>
        <v>0</v>
      </c>
      <c r="D135" s="151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3"/>
      <c r="S135" s="154" t="str">
        <f t="shared" si="5"/>
        <v/>
      </c>
      <c r="T135" s="155" t="str">
        <f t="shared" si="7"/>
        <v/>
      </c>
      <c r="U135" s="156">
        <f t="shared" si="6"/>
        <v>0</v>
      </c>
      <c r="V135" s="157"/>
      <c r="W135" s="124"/>
      <c r="X135" s="59"/>
      <c r="Y135" s="59"/>
      <c r="Z135" s="59"/>
      <c r="AA135" s="59"/>
      <c r="AB135" s="59"/>
      <c r="AC135" s="78"/>
    </row>
    <row r="136" spans="2:29" ht="20" customHeight="1">
      <c r="B136" s="77"/>
      <c r="C136" s="105">
        <f t="shared" si="4"/>
        <v>0</v>
      </c>
      <c r="D136" s="143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5"/>
      <c r="S136" s="146" t="str">
        <f t="shared" si="5"/>
        <v/>
      </c>
      <c r="T136" s="147" t="str">
        <f t="shared" si="7"/>
        <v/>
      </c>
      <c r="U136" s="148">
        <f t="shared" si="6"/>
        <v>0</v>
      </c>
      <c r="V136" s="149"/>
      <c r="W136" s="121"/>
      <c r="X136" s="59"/>
      <c r="Y136" s="59"/>
      <c r="Z136" s="59"/>
      <c r="AA136" s="59"/>
      <c r="AB136" s="59"/>
      <c r="AC136" s="78"/>
    </row>
    <row r="137" spans="2:29" ht="20" customHeight="1">
      <c r="B137" s="77"/>
      <c r="C137" s="106">
        <f t="shared" si="4"/>
        <v>0</v>
      </c>
      <c r="D137" s="151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3"/>
      <c r="S137" s="154" t="str">
        <f t="shared" si="5"/>
        <v/>
      </c>
      <c r="T137" s="155" t="str">
        <f t="shared" si="7"/>
        <v/>
      </c>
      <c r="U137" s="156">
        <f t="shared" si="6"/>
        <v>0</v>
      </c>
      <c r="V137" s="157"/>
      <c r="W137" s="124"/>
      <c r="X137" s="59"/>
      <c r="Y137" s="59"/>
      <c r="Z137" s="59"/>
      <c r="AA137" s="59"/>
      <c r="AB137" s="59"/>
      <c r="AC137" s="78"/>
    </row>
    <row r="138" spans="2:29" ht="20" customHeight="1">
      <c r="B138" s="77"/>
      <c r="C138" s="105">
        <f t="shared" si="4"/>
        <v>0</v>
      </c>
      <c r="D138" s="143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5"/>
      <c r="S138" s="146" t="str">
        <f t="shared" si="5"/>
        <v/>
      </c>
      <c r="T138" s="147" t="str">
        <f t="shared" si="7"/>
        <v/>
      </c>
      <c r="U138" s="148">
        <f t="shared" si="6"/>
        <v>0</v>
      </c>
      <c r="V138" s="149"/>
      <c r="W138" s="121"/>
      <c r="X138" s="59"/>
      <c r="Y138" s="59"/>
      <c r="Z138" s="59"/>
      <c r="AA138" s="59"/>
      <c r="AB138" s="59"/>
      <c r="AC138" s="78"/>
    </row>
    <row r="139" spans="2:29" ht="20" customHeight="1">
      <c r="B139" s="77"/>
      <c r="C139" s="106">
        <f t="shared" si="4"/>
        <v>0</v>
      </c>
      <c r="D139" s="151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3"/>
      <c r="S139" s="154" t="str">
        <f t="shared" si="5"/>
        <v/>
      </c>
      <c r="T139" s="155" t="str">
        <f t="shared" si="7"/>
        <v/>
      </c>
      <c r="U139" s="156">
        <f t="shared" si="6"/>
        <v>0</v>
      </c>
      <c r="V139" s="157"/>
      <c r="W139" s="124"/>
      <c r="X139" s="59"/>
      <c r="Y139" s="59"/>
      <c r="Z139" s="59"/>
      <c r="AA139" s="59"/>
      <c r="AB139" s="59"/>
      <c r="AC139" s="78"/>
    </row>
    <row r="140" spans="2:29" ht="20" customHeight="1">
      <c r="B140" s="77"/>
      <c r="C140" s="105">
        <f t="shared" ref="C140:C199" si="8">U140</f>
        <v>0</v>
      </c>
      <c r="D140" s="143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5"/>
      <c r="S140" s="146" t="str">
        <f t="shared" ref="S140:S199" si="9">D140&amp;E140&amp;F140&amp;G140&amp;H140&amp;I140&amp;J140&amp;K140&amp;L140&amp;M140&amp;N140&amp;O140&amp;P140&amp;Q140&amp;R140</f>
        <v/>
      </c>
      <c r="T140" s="147" t="str">
        <f t="shared" si="7"/>
        <v/>
      </c>
      <c r="U140" s="148">
        <f t="shared" ref="U140:U199" si="10">IF(R140="",0,VLOOKUP(R140,$Y$11:$Z$32,2))+IF(Q140="",0,VLOOKUP(Q140,$Y$11:$Z$32,2))+IF(P140="",0,VLOOKUP(P140,$Y$11:$Z$32,2))+IF(O140="",0,VLOOKUP(O140,$Y$11:$Z$32,2))+IF(N140="",0,VLOOKUP(N140,$Y$11:$Z$32,2))+IF(M140="",0,VLOOKUP(M140,$Y$11:$Z$32,2))+IF(L140="",0,VLOOKUP(L140,$Y$11:$Z$32,2))+IF(K140="",0,VLOOKUP(K140,$Y$11:$Z$32,2))+IF(J140="",0,VLOOKUP(J140,$Y$11:$Z$32,2))+IF(I140="",0,VLOOKUP(I140,$Y$11:$Z$32,2))+IF(H140="",0,VLOOKUP(H140,$Y$11:$Z$32,2))+IF(G140="",0,VLOOKUP(G140,$Y$11:$Z$32,2))+IF(F140="",0,VLOOKUP(F140,$Y$11:$Z$32,2))+IF(E140="",0,VLOOKUP(E140,$Y$11:$Z$32,2))+IF(D140="",0,VLOOKUP(D140,$Y$11:$Z$32,2))</f>
        <v>0</v>
      </c>
      <c r="V140" s="149"/>
      <c r="W140" s="121"/>
      <c r="X140" s="59"/>
      <c r="Y140" s="59"/>
      <c r="Z140" s="59"/>
      <c r="AA140" s="59"/>
      <c r="AB140" s="59"/>
      <c r="AC140" s="78"/>
    </row>
    <row r="141" spans="2:29" ht="20" customHeight="1">
      <c r="B141" s="77"/>
      <c r="C141" s="106">
        <f t="shared" si="8"/>
        <v>0</v>
      </c>
      <c r="D141" s="151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3"/>
      <c r="S141" s="154" t="str">
        <f t="shared" si="9"/>
        <v/>
      </c>
      <c r="T141" s="155" t="str">
        <f t="shared" ref="T141:T199" si="11">IF(R141="","",VLOOKUP(R141,$Y$11:$AB$32,4))&amp;IF(Q141="","",VLOOKUP(Q141,$Y$11:$AB$32,4))&amp;IF(P141="","",VLOOKUP(P141,$Y$11:$AB$32,4))&amp;IF(O141="","",VLOOKUP(O141,$Y$11:$AB$32,4))&amp;IF(N141="","",VLOOKUP(N141,$Y$11:$AB$32,4))&amp;IF(M141="","",VLOOKUP(M141,$Y$11:$AB$32,4))&amp;IF(L141="","",VLOOKUP(L141,$Y$11:$AB$32,4))&amp;IF(K141="","",VLOOKUP(K141,$Y$11:$AB$32,4))&amp;IF(J141="","",VLOOKUP(J141,$Y$11:$AB$32,4))&amp;IF(I141="","",VLOOKUP(I141,$Y$11:$AB$32,4))&amp;IF(H141="","",VLOOKUP(H141,$Y$11:$AB$32,4))&amp;IF(G141="","",VLOOKUP(G141,$Y$11:$AB$32,4))&amp;IF(F141="","",VLOOKUP(F141,$Y$11:$AB$32,4))&amp;IF(E141="","",VLOOKUP(E141,$Y$11:$AB$32,4))&amp;IF(D141="","",VLOOKUP(D141,$Y$11:$AB$32,4))</f>
        <v/>
      </c>
      <c r="U141" s="156">
        <f t="shared" si="10"/>
        <v>0</v>
      </c>
      <c r="V141" s="157"/>
      <c r="W141" s="124"/>
      <c r="X141" s="59"/>
      <c r="Y141" s="59"/>
      <c r="Z141" s="59"/>
      <c r="AA141" s="59"/>
      <c r="AB141" s="59"/>
      <c r="AC141" s="78"/>
    </row>
    <row r="142" spans="2:29" ht="20" customHeight="1">
      <c r="B142" s="77"/>
      <c r="C142" s="105">
        <f t="shared" si="8"/>
        <v>0</v>
      </c>
      <c r="D142" s="143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5"/>
      <c r="S142" s="146" t="str">
        <f t="shared" si="9"/>
        <v/>
      </c>
      <c r="T142" s="147" t="str">
        <f t="shared" si="11"/>
        <v/>
      </c>
      <c r="U142" s="148">
        <f t="shared" si="10"/>
        <v>0</v>
      </c>
      <c r="V142" s="149"/>
      <c r="W142" s="121"/>
      <c r="X142" s="59"/>
      <c r="Y142" s="59"/>
      <c r="Z142" s="59"/>
      <c r="AA142" s="59"/>
      <c r="AB142" s="59"/>
      <c r="AC142" s="78"/>
    </row>
    <row r="143" spans="2:29" ht="20" customHeight="1">
      <c r="B143" s="77"/>
      <c r="C143" s="106">
        <f t="shared" si="8"/>
        <v>0</v>
      </c>
      <c r="D143" s="151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3"/>
      <c r="S143" s="154" t="str">
        <f t="shared" si="9"/>
        <v/>
      </c>
      <c r="T143" s="155" t="str">
        <f t="shared" si="11"/>
        <v/>
      </c>
      <c r="U143" s="156">
        <f t="shared" si="10"/>
        <v>0</v>
      </c>
      <c r="V143" s="157"/>
      <c r="W143" s="124"/>
      <c r="X143" s="59"/>
      <c r="Y143" s="59"/>
      <c r="Z143" s="59"/>
      <c r="AA143" s="59"/>
      <c r="AB143" s="59"/>
      <c r="AC143" s="78"/>
    </row>
    <row r="144" spans="2:29" ht="20" customHeight="1">
      <c r="B144" s="77"/>
      <c r="C144" s="105">
        <f t="shared" si="8"/>
        <v>0</v>
      </c>
      <c r="D144" s="143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5"/>
      <c r="S144" s="146" t="str">
        <f t="shared" si="9"/>
        <v/>
      </c>
      <c r="T144" s="147" t="str">
        <f t="shared" si="11"/>
        <v/>
      </c>
      <c r="U144" s="148">
        <f t="shared" si="10"/>
        <v>0</v>
      </c>
      <c r="V144" s="149"/>
      <c r="W144" s="121"/>
      <c r="X144" s="59"/>
      <c r="Y144" s="59"/>
      <c r="Z144" s="59"/>
      <c r="AA144" s="59"/>
      <c r="AB144" s="59"/>
      <c r="AC144" s="78"/>
    </row>
    <row r="145" spans="2:29" ht="20" customHeight="1">
      <c r="B145" s="77"/>
      <c r="C145" s="106">
        <f t="shared" si="8"/>
        <v>0</v>
      </c>
      <c r="D145" s="151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3"/>
      <c r="S145" s="154" t="str">
        <f t="shared" si="9"/>
        <v/>
      </c>
      <c r="T145" s="155" t="str">
        <f t="shared" si="11"/>
        <v/>
      </c>
      <c r="U145" s="156">
        <f t="shared" si="10"/>
        <v>0</v>
      </c>
      <c r="V145" s="157"/>
      <c r="W145" s="124"/>
      <c r="X145" s="59"/>
      <c r="Y145" s="59"/>
      <c r="Z145" s="59"/>
      <c r="AA145" s="59"/>
      <c r="AB145" s="59"/>
      <c r="AC145" s="78"/>
    </row>
    <row r="146" spans="2:29" ht="20" customHeight="1">
      <c r="B146" s="77"/>
      <c r="C146" s="105">
        <f t="shared" si="8"/>
        <v>0</v>
      </c>
      <c r="D146" s="143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5"/>
      <c r="S146" s="146" t="str">
        <f t="shared" si="9"/>
        <v/>
      </c>
      <c r="T146" s="147" t="str">
        <f t="shared" si="11"/>
        <v/>
      </c>
      <c r="U146" s="148">
        <f t="shared" si="10"/>
        <v>0</v>
      </c>
      <c r="V146" s="149"/>
      <c r="W146" s="121"/>
      <c r="X146" s="59"/>
      <c r="Y146" s="59"/>
      <c r="Z146" s="59"/>
      <c r="AA146" s="59"/>
      <c r="AB146" s="59"/>
      <c r="AC146" s="78"/>
    </row>
    <row r="147" spans="2:29" ht="20" customHeight="1">
      <c r="B147" s="77"/>
      <c r="C147" s="106">
        <f t="shared" si="8"/>
        <v>0</v>
      </c>
      <c r="D147" s="151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3"/>
      <c r="S147" s="154" t="str">
        <f t="shared" si="9"/>
        <v/>
      </c>
      <c r="T147" s="155" t="str">
        <f t="shared" si="11"/>
        <v/>
      </c>
      <c r="U147" s="156">
        <f t="shared" si="10"/>
        <v>0</v>
      </c>
      <c r="V147" s="157"/>
      <c r="W147" s="124"/>
      <c r="X147" s="59"/>
      <c r="Y147" s="59"/>
      <c r="Z147" s="59"/>
      <c r="AA147" s="59"/>
      <c r="AB147" s="59"/>
      <c r="AC147" s="78"/>
    </row>
    <row r="148" spans="2:29" ht="20" customHeight="1">
      <c r="B148" s="77"/>
      <c r="C148" s="105">
        <f t="shared" si="8"/>
        <v>0</v>
      </c>
      <c r="D148" s="143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5"/>
      <c r="S148" s="146" t="str">
        <f t="shared" si="9"/>
        <v/>
      </c>
      <c r="T148" s="147" t="str">
        <f t="shared" si="11"/>
        <v/>
      </c>
      <c r="U148" s="148">
        <f t="shared" si="10"/>
        <v>0</v>
      </c>
      <c r="V148" s="149"/>
      <c r="W148" s="121"/>
      <c r="X148" s="59"/>
      <c r="Y148" s="59"/>
      <c r="Z148" s="59"/>
      <c r="AA148" s="59"/>
      <c r="AB148" s="59"/>
      <c r="AC148" s="78"/>
    </row>
    <row r="149" spans="2:29" ht="20" customHeight="1">
      <c r="B149" s="77"/>
      <c r="C149" s="106">
        <f t="shared" si="8"/>
        <v>0</v>
      </c>
      <c r="D149" s="151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3"/>
      <c r="S149" s="154" t="str">
        <f t="shared" si="9"/>
        <v/>
      </c>
      <c r="T149" s="155" t="str">
        <f t="shared" si="11"/>
        <v/>
      </c>
      <c r="U149" s="156">
        <f t="shared" si="10"/>
        <v>0</v>
      </c>
      <c r="V149" s="157"/>
      <c r="W149" s="124"/>
      <c r="X149" s="59"/>
      <c r="Y149" s="59"/>
      <c r="Z149" s="59"/>
      <c r="AA149" s="59"/>
      <c r="AB149" s="59"/>
      <c r="AC149" s="78"/>
    </row>
    <row r="150" spans="2:29" ht="20" customHeight="1">
      <c r="B150" s="77"/>
      <c r="C150" s="105">
        <f t="shared" si="8"/>
        <v>0</v>
      </c>
      <c r="D150" s="143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5"/>
      <c r="S150" s="146" t="str">
        <f t="shared" si="9"/>
        <v/>
      </c>
      <c r="T150" s="147" t="str">
        <f t="shared" si="11"/>
        <v/>
      </c>
      <c r="U150" s="148">
        <f t="shared" si="10"/>
        <v>0</v>
      </c>
      <c r="V150" s="149"/>
      <c r="W150" s="121"/>
      <c r="X150" s="59"/>
      <c r="Y150" s="59"/>
      <c r="Z150" s="59"/>
      <c r="AA150" s="59"/>
      <c r="AB150" s="59"/>
      <c r="AC150" s="78"/>
    </row>
    <row r="151" spans="2:29" ht="20" customHeight="1">
      <c r="B151" s="77"/>
      <c r="C151" s="106">
        <f t="shared" si="8"/>
        <v>0</v>
      </c>
      <c r="D151" s="151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3"/>
      <c r="S151" s="154" t="str">
        <f t="shared" si="9"/>
        <v/>
      </c>
      <c r="T151" s="155" t="str">
        <f t="shared" si="11"/>
        <v/>
      </c>
      <c r="U151" s="156">
        <f t="shared" si="10"/>
        <v>0</v>
      </c>
      <c r="V151" s="157"/>
      <c r="W151" s="124"/>
      <c r="X151" s="59"/>
      <c r="Y151" s="59"/>
      <c r="Z151" s="59"/>
      <c r="AA151" s="59"/>
      <c r="AB151" s="59"/>
      <c r="AC151" s="78"/>
    </row>
    <row r="152" spans="2:29" ht="20" customHeight="1">
      <c r="B152" s="77"/>
      <c r="C152" s="105">
        <f t="shared" si="8"/>
        <v>0</v>
      </c>
      <c r="D152" s="143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5"/>
      <c r="S152" s="146" t="str">
        <f t="shared" si="9"/>
        <v/>
      </c>
      <c r="T152" s="147" t="str">
        <f t="shared" si="11"/>
        <v/>
      </c>
      <c r="U152" s="148">
        <f t="shared" si="10"/>
        <v>0</v>
      </c>
      <c r="V152" s="149"/>
      <c r="W152" s="121"/>
      <c r="X152" s="59"/>
      <c r="Y152" s="59"/>
      <c r="Z152" s="59"/>
      <c r="AA152" s="59"/>
      <c r="AB152" s="59"/>
      <c r="AC152" s="78"/>
    </row>
    <row r="153" spans="2:29" ht="20" customHeight="1">
      <c r="B153" s="77"/>
      <c r="C153" s="106">
        <f t="shared" si="8"/>
        <v>0</v>
      </c>
      <c r="D153" s="151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3"/>
      <c r="S153" s="154" t="str">
        <f t="shared" si="9"/>
        <v/>
      </c>
      <c r="T153" s="155" t="str">
        <f t="shared" si="11"/>
        <v/>
      </c>
      <c r="U153" s="156">
        <f t="shared" si="10"/>
        <v>0</v>
      </c>
      <c r="V153" s="157"/>
      <c r="W153" s="124"/>
      <c r="X153" s="59"/>
      <c r="Y153" s="59"/>
      <c r="Z153" s="59"/>
      <c r="AA153" s="59"/>
      <c r="AB153" s="59"/>
      <c r="AC153" s="78"/>
    </row>
    <row r="154" spans="2:29" ht="20" customHeight="1">
      <c r="B154" s="77"/>
      <c r="C154" s="105">
        <f t="shared" si="8"/>
        <v>0</v>
      </c>
      <c r="D154" s="143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5"/>
      <c r="S154" s="146" t="str">
        <f t="shared" si="9"/>
        <v/>
      </c>
      <c r="T154" s="147" t="str">
        <f t="shared" si="11"/>
        <v/>
      </c>
      <c r="U154" s="148">
        <f t="shared" si="10"/>
        <v>0</v>
      </c>
      <c r="V154" s="149"/>
      <c r="W154" s="121"/>
      <c r="X154" s="59"/>
      <c r="Y154" s="59"/>
      <c r="Z154" s="59"/>
      <c r="AA154" s="59"/>
      <c r="AB154" s="59"/>
      <c r="AC154" s="78"/>
    </row>
    <row r="155" spans="2:29" ht="20" customHeight="1">
      <c r="B155" s="77"/>
      <c r="C155" s="106">
        <f t="shared" si="8"/>
        <v>0</v>
      </c>
      <c r="D155" s="151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3"/>
      <c r="S155" s="154" t="str">
        <f t="shared" si="9"/>
        <v/>
      </c>
      <c r="T155" s="155" t="str">
        <f t="shared" si="11"/>
        <v/>
      </c>
      <c r="U155" s="156">
        <f t="shared" si="10"/>
        <v>0</v>
      </c>
      <c r="V155" s="157"/>
      <c r="W155" s="124"/>
      <c r="X155" s="59"/>
      <c r="Y155" s="59"/>
      <c r="Z155" s="59"/>
      <c r="AA155" s="59"/>
      <c r="AB155" s="59"/>
      <c r="AC155" s="78"/>
    </row>
    <row r="156" spans="2:29" ht="20" customHeight="1">
      <c r="B156" s="77"/>
      <c r="C156" s="105">
        <f t="shared" si="8"/>
        <v>0</v>
      </c>
      <c r="D156" s="143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5"/>
      <c r="S156" s="146" t="str">
        <f t="shared" si="9"/>
        <v/>
      </c>
      <c r="T156" s="147" t="str">
        <f t="shared" si="11"/>
        <v/>
      </c>
      <c r="U156" s="148">
        <f t="shared" si="10"/>
        <v>0</v>
      </c>
      <c r="V156" s="149"/>
      <c r="W156" s="121"/>
      <c r="X156" s="59"/>
      <c r="Y156" s="59"/>
      <c r="Z156" s="59"/>
      <c r="AA156" s="59"/>
      <c r="AB156" s="59"/>
      <c r="AC156" s="78"/>
    </row>
    <row r="157" spans="2:29" ht="20" customHeight="1">
      <c r="B157" s="77"/>
      <c r="C157" s="106">
        <f t="shared" si="8"/>
        <v>0</v>
      </c>
      <c r="D157" s="151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3"/>
      <c r="S157" s="154" t="str">
        <f t="shared" si="9"/>
        <v/>
      </c>
      <c r="T157" s="155" t="str">
        <f t="shared" si="11"/>
        <v/>
      </c>
      <c r="U157" s="156">
        <f t="shared" si="10"/>
        <v>0</v>
      </c>
      <c r="V157" s="157"/>
      <c r="W157" s="124"/>
      <c r="X157" s="59"/>
      <c r="Y157" s="59"/>
      <c r="Z157" s="59"/>
      <c r="AA157" s="59"/>
      <c r="AB157" s="59"/>
      <c r="AC157" s="78"/>
    </row>
    <row r="158" spans="2:29" ht="20" customHeight="1">
      <c r="B158" s="77"/>
      <c r="C158" s="105">
        <f t="shared" si="8"/>
        <v>0</v>
      </c>
      <c r="D158" s="143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5"/>
      <c r="S158" s="146" t="str">
        <f t="shared" si="9"/>
        <v/>
      </c>
      <c r="T158" s="147" t="str">
        <f t="shared" si="11"/>
        <v/>
      </c>
      <c r="U158" s="148">
        <f t="shared" si="10"/>
        <v>0</v>
      </c>
      <c r="V158" s="149"/>
      <c r="W158" s="121"/>
      <c r="X158" s="59"/>
      <c r="Y158" s="59"/>
      <c r="Z158" s="59"/>
      <c r="AA158" s="59"/>
      <c r="AB158" s="59"/>
      <c r="AC158" s="78"/>
    </row>
    <row r="159" spans="2:29" ht="20" customHeight="1">
      <c r="B159" s="77"/>
      <c r="C159" s="106">
        <f t="shared" si="8"/>
        <v>0</v>
      </c>
      <c r="D159" s="151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3"/>
      <c r="S159" s="154" t="str">
        <f t="shared" si="9"/>
        <v/>
      </c>
      <c r="T159" s="155" t="str">
        <f t="shared" si="11"/>
        <v/>
      </c>
      <c r="U159" s="156">
        <f t="shared" si="10"/>
        <v>0</v>
      </c>
      <c r="V159" s="157"/>
      <c r="W159" s="124"/>
      <c r="X159" s="59"/>
      <c r="Y159" s="59"/>
      <c r="Z159" s="59"/>
      <c r="AA159" s="59"/>
      <c r="AB159" s="59"/>
      <c r="AC159" s="78"/>
    </row>
    <row r="160" spans="2:29" ht="20" customHeight="1">
      <c r="B160" s="77"/>
      <c r="C160" s="105">
        <f t="shared" si="8"/>
        <v>0</v>
      </c>
      <c r="D160" s="143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5"/>
      <c r="S160" s="146" t="str">
        <f t="shared" si="9"/>
        <v/>
      </c>
      <c r="T160" s="147" t="str">
        <f t="shared" si="11"/>
        <v/>
      </c>
      <c r="U160" s="148">
        <f t="shared" si="10"/>
        <v>0</v>
      </c>
      <c r="V160" s="149"/>
      <c r="W160" s="121"/>
      <c r="X160" s="59"/>
      <c r="Y160" s="59"/>
      <c r="Z160" s="59"/>
      <c r="AA160" s="59"/>
      <c r="AB160" s="59"/>
      <c r="AC160" s="78"/>
    </row>
    <row r="161" spans="2:29" ht="20" customHeight="1">
      <c r="B161" s="77"/>
      <c r="C161" s="106">
        <f t="shared" si="8"/>
        <v>0</v>
      </c>
      <c r="D161" s="151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3"/>
      <c r="S161" s="154" t="str">
        <f t="shared" si="9"/>
        <v/>
      </c>
      <c r="T161" s="155" t="str">
        <f t="shared" si="11"/>
        <v/>
      </c>
      <c r="U161" s="156">
        <f t="shared" si="10"/>
        <v>0</v>
      </c>
      <c r="V161" s="157"/>
      <c r="W161" s="124"/>
      <c r="X161" s="59"/>
      <c r="Y161" s="59"/>
      <c r="Z161" s="59"/>
      <c r="AA161" s="59"/>
      <c r="AB161" s="59"/>
      <c r="AC161" s="78"/>
    </row>
    <row r="162" spans="2:29" ht="20" customHeight="1">
      <c r="B162" s="77"/>
      <c r="C162" s="105">
        <f t="shared" si="8"/>
        <v>0</v>
      </c>
      <c r="D162" s="143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5"/>
      <c r="S162" s="146" t="str">
        <f t="shared" si="9"/>
        <v/>
      </c>
      <c r="T162" s="147" t="str">
        <f t="shared" si="11"/>
        <v/>
      </c>
      <c r="U162" s="148">
        <f t="shared" si="10"/>
        <v>0</v>
      </c>
      <c r="V162" s="149"/>
      <c r="W162" s="121"/>
      <c r="X162" s="59"/>
      <c r="Y162" s="59"/>
      <c r="Z162" s="59"/>
      <c r="AA162" s="59"/>
      <c r="AB162" s="59"/>
      <c r="AC162" s="78"/>
    </row>
    <row r="163" spans="2:29" ht="20" customHeight="1">
      <c r="B163" s="77"/>
      <c r="C163" s="106">
        <f t="shared" si="8"/>
        <v>0</v>
      </c>
      <c r="D163" s="151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3"/>
      <c r="S163" s="154" t="str">
        <f t="shared" si="9"/>
        <v/>
      </c>
      <c r="T163" s="155" t="str">
        <f t="shared" si="11"/>
        <v/>
      </c>
      <c r="U163" s="156">
        <f t="shared" si="10"/>
        <v>0</v>
      </c>
      <c r="V163" s="157"/>
      <c r="W163" s="124"/>
      <c r="X163" s="59"/>
      <c r="Y163" s="59"/>
      <c r="Z163" s="59"/>
      <c r="AA163" s="59"/>
      <c r="AB163" s="59"/>
      <c r="AC163" s="78"/>
    </row>
    <row r="164" spans="2:29" ht="20" customHeight="1">
      <c r="B164" s="77"/>
      <c r="C164" s="105">
        <f t="shared" si="8"/>
        <v>0</v>
      </c>
      <c r="D164" s="143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5"/>
      <c r="S164" s="146" t="str">
        <f t="shared" si="9"/>
        <v/>
      </c>
      <c r="T164" s="147" t="str">
        <f t="shared" si="11"/>
        <v/>
      </c>
      <c r="U164" s="148">
        <f t="shared" si="10"/>
        <v>0</v>
      </c>
      <c r="V164" s="149"/>
      <c r="W164" s="121"/>
      <c r="X164" s="59"/>
      <c r="Y164" s="59"/>
      <c r="Z164" s="59"/>
      <c r="AA164" s="59"/>
      <c r="AB164" s="59"/>
      <c r="AC164" s="78"/>
    </row>
    <row r="165" spans="2:29" ht="20" customHeight="1">
      <c r="B165" s="77"/>
      <c r="C165" s="106">
        <f t="shared" si="8"/>
        <v>0</v>
      </c>
      <c r="D165" s="151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3"/>
      <c r="S165" s="154" t="str">
        <f t="shared" si="9"/>
        <v/>
      </c>
      <c r="T165" s="155" t="str">
        <f t="shared" si="11"/>
        <v/>
      </c>
      <c r="U165" s="156">
        <f t="shared" si="10"/>
        <v>0</v>
      </c>
      <c r="V165" s="157"/>
      <c r="W165" s="124"/>
      <c r="X165" s="59"/>
      <c r="Y165" s="59"/>
      <c r="Z165" s="59"/>
      <c r="AA165" s="59"/>
      <c r="AB165" s="59"/>
      <c r="AC165" s="78"/>
    </row>
    <row r="166" spans="2:29" ht="20" customHeight="1">
      <c r="B166" s="77"/>
      <c r="C166" s="105">
        <f t="shared" si="8"/>
        <v>0</v>
      </c>
      <c r="D166" s="143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5"/>
      <c r="S166" s="146" t="str">
        <f t="shared" si="9"/>
        <v/>
      </c>
      <c r="T166" s="147" t="str">
        <f t="shared" si="11"/>
        <v/>
      </c>
      <c r="U166" s="148">
        <f t="shared" si="10"/>
        <v>0</v>
      </c>
      <c r="V166" s="149"/>
      <c r="W166" s="121"/>
      <c r="X166" s="59"/>
      <c r="Y166" s="59"/>
      <c r="Z166" s="59"/>
      <c r="AA166" s="59"/>
      <c r="AB166" s="59"/>
      <c r="AC166" s="78"/>
    </row>
    <row r="167" spans="2:29" ht="20" customHeight="1">
      <c r="B167" s="77"/>
      <c r="C167" s="106">
        <f t="shared" si="8"/>
        <v>0</v>
      </c>
      <c r="D167" s="151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3"/>
      <c r="S167" s="154" t="str">
        <f t="shared" si="9"/>
        <v/>
      </c>
      <c r="T167" s="155" t="str">
        <f t="shared" si="11"/>
        <v/>
      </c>
      <c r="U167" s="156">
        <f t="shared" si="10"/>
        <v>0</v>
      </c>
      <c r="V167" s="157"/>
      <c r="W167" s="124"/>
      <c r="X167" s="59"/>
      <c r="Y167" s="59"/>
      <c r="Z167" s="59"/>
      <c r="AA167" s="59"/>
      <c r="AB167" s="59"/>
      <c r="AC167" s="78"/>
    </row>
    <row r="168" spans="2:29" ht="20" customHeight="1">
      <c r="B168" s="77"/>
      <c r="C168" s="105">
        <f t="shared" si="8"/>
        <v>0</v>
      </c>
      <c r="D168" s="143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5"/>
      <c r="S168" s="146" t="str">
        <f t="shared" si="9"/>
        <v/>
      </c>
      <c r="T168" s="147" t="str">
        <f t="shared" si="11"/>
        <v/>
      </c>
      <c r="U168" s="148">
        <f t="shared" si="10"/>
        <v>0</v>
      </c>
      <c r="V168" s="149"/>
      <c r="W168" s="121"/>
      <c r="X168" s="59"/>
      <c r="Y168" s="59"/>
      <c r="Z168" s="59"/>
      <c r="AA168" s="59"/>
      <c r="AB168" s="59"/>
      <c r="AC168" s="78"/>
    </row>
    <row r="169" spans="2:29" ht="20" customHeight="1">
      <c r="B169" s="77"/>
      <c r="C169" s="106">
        <f t="shared" si="8"/>
        <v>0</v>
      </c>
      <c r="D169" s="151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3"/>
      <c r="S169" s="154" t="str">
        <f t="shared" si="9"/>
        <v/>
      </c>
      <c r="T169" s="155" t="str">
        <f t="shared" si="11"/>
        <v/>
      </c>
      <c r="U169" s="156">
        <f t="shared" si="10"/>
        <v>0</v>
      </c>
      <c r="V169" s="157"/>
      <c r="W169" s="124"/>
      <c r="X169" s="59"/>
      <c r="Y169" s="59"/>
      <c r="Z169" s="59"/>
      <c r="AA169" s="59"/>
      <c r="AB169" s="59"/>
      <c r="AC169" s="78"/>
    </row>
    <row r="170" spans="2:29" ht="20" customHeight="1">
      <c r="B170" s="77"/>
      <c r="C170" s="105">
        <f t="shared" si="8"/>
        <v>0</v>
      </c>
      <c r="D170" s="143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5"/>
      <c r="S170" s="146" t="str">
        <f t="shared" si="9"/>
        <v/>
      </c>
      <c r="T170" s="147" t="str">
        <f t="shared" si="11"/>
        <v/>
      </c>
      <c r="U170" s="148">
        <f t="shared" si="10"/>
        <v>0</v>
      </c>
      <c r="V170" s="149"/>
      <c r="W170" s="121"/>
      <c r="X170" s="59"/>
      <c r="Y170" s="59"/>
      <c r="Z170" s="59"/>
      <c r="AA170" s="59"/>
      <c r="AB170" s="59"/>
      <c r="AC170" s="78"/>
    </row>
    <row r="171" spans="2:29" ht="20" customHeight="1">
      <c r="B171" s="77"/>
      <c r="C171" s="106">
        <f t="shared" si="8"/>
        <v>0</v>
      </c>
      <c r="D171" s="151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3"/>
      <c r="S171" s="154" t="str">
        <f t="shared" si="9"/>
        <v/>
      </c>
      <c r="T171" s="155" t="str">
        <f t="shared" si="11"/>
        <v/>
      </c>
      <c r="U171" s="156">
        <f t="shared" si="10"/>
        <v>0</v>
      </c>
      <c r="V171" s="157"/>
      <c r="W171" s="124"/>
      <c r="X171" s="59"/>
      <c r="Y171" s="59"/>
      <c r="Z171" s="59"/>
      <c r="AA171" s="59"/>
      <c r="AB171" s="59"/>
      <c r="AC171" s="78"/>
    </row>
    <row r="172" spans="2:29" ht="20" customHeight="1">
      <c r="B172" s="77"/>
      <c r="C172" s="105">
        <f t="shared" si="8"/>
        <v>0</v>
      </c>
      <c r="D172" s="143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5"/>
      <c r="S172" s="146" t="str">
        <f t="shared" si="9"/>
        <v/>
      </c>
      <c r="T172" s="147" t="str">
        <f t="shared" si="11"/>
        <v/>
      </c>
      <c r="U172" s="148">
        <f t="shared" si="10"/>
        <v>0</v>
      </c>
      <c r="V172" s="149"/>
      <c r="W172" s="121"/>
      <c r="X172" s="59"/>
      <c r="Y172" s="59"/>
      <c r="Z172" s="59"/>
      <c r="AA172" s="59"/>
      <c r="AB172" s="59"/>
      <c r="AC172" s="78"/>
    </row>
    <row r="173" spans="2:29" ht="20" customHeight="1">
      <c r="B173" s="77"/>
      <c r="C173" s="106">
        <f t="shared" si="8"/>
        <v>0</v>
      </c>
      <c r="D173" s="151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3"/>
      <c r="S173" s="154" t="str">
        <f t="shared" si="9"/>
        <v/>
      </c>
      <c r="T173" s="155" t="str">
        <f t="shared" si="11"/>
        <v/>
      </c>
      <c r="U173" s="156">
        <f t="shared" si="10"/>
        <v>0</v>
      </c>
      <c r="V173" s="157"/>
      <c r="W173" s="124"/>
      <c r="X173" s="59"/>
      <c r="Y173" s="59"/>
      <c r="Z173" s="59"/>
      <c r="AA173" s="59"/>
      <c r="AB173" s="59"/>
      <c r="AC173" s="78"/>
    </row>
    <row r="174" spans="2:29" ht="20" customHeight="1">
      <c r="B174" s="77"/>
      <c r="C174" s="105">
        <f t="shared" si="8"/>
        <v>0</v>
      </c>
      <c r="D174" s="143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5"/>
      <c r="S174" s="146" t="str">
        <f t="shared" si="9"/>
        <v/>
      </c>
      <c r="T174" s="147" t="str">
        <f t="shared" si="11"/>
        <v/>
      </c>
      <c r="U174" s="148">
        <f t="shared" si="10"/>
        <v>0</v>
      </c>
      <c r="V174" s="149"/>
      <c r="W174" s="121"/>
      <c r="X174" s="59"/>
      <c r="Y174" s="59"/>
      <c r="Z174" s="59"/>
      <c r="AA174" s="59"/>
      <c r="AB174" s="59"/>
      <c r="AC174" s="78"/>
    </row>
    <row r="175" spans="2:29" ht="20" customHeight="1">
      <c r="B175" s="77"/>
      <c r="C175" s="106">
        <f t="shared" si="8"/>
        <v>0</v>
      </c>
      <c r="D175" s="151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3"/>
      <c r="S175" s="154" t="str">
        <f t="shared" si="9"/>
        <v/>
      </c>
      <c r="T175" s="155" t="str">
        <f t="shared" si="11"/>
        <v/>
      </c>
      <c r="U175" s="156">
        <f t="shared" si="10"/>
        <v>0</v>
      </c>
      <c r="V175" s="157"/>
      <c r="W175" s="124"/>
      <c r="X175" s="59"/>
      <c r="Y175" s="59"/>
      <c r="Z175" s="59"/>
      <c r="AA175" s="59"/>
      <c r="AB175" s="59"/>
      <c r="AC175" s="78"/>
    </row>
    <row r="176" spans="2:29" ht="20" customHeight="1">
      <c r="B176" s="77"/>
      <c r="C176" s="105">
        <f t="shared" si="8"/>
        <v>0</v>
      </c>
      <c r="D176" s="143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5"/>
      <c r="S176" s="146" t="str">
        <f t="shared" si="9"/>
        <v/>
      </c>
      <c r="T176" s="147" t="str">
        <f t="shared" si="11"/>
        <v/>
      </c>
      <c r="U176" s="148">
        <f t="shared" si="10"/>
        <v>0</v>
      </c>
      <c r="V176" s="149"/>
      <c r="W176" s="121"/>
      <c r="X176" s="59"/>
      <c r="Y176" s="59"/>
      <c r="Z176" s="59"/>
      <c r="AA176" s="59"/>
      <c r="AB176" s="59"/>
      <c r="AC176" s="78"/>
    </row>
    <row r="177" spans="2:29" ht="20" customHeight="1">
      <c r="B177" s="77"/>
      <c r="C177" s="106">
        <f t="shared" si="8"/>
        <v>0</v>
      </c>
      <c r="D177" s="151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3"/>
      <c r="S177" s="154" t="str">
        <f t="shared" si="9"/>
        <v/>
      </c>
      <c r="T177" s="155" t="str">
        <f t="shared" si="11"/>
        <v/>
      </c>
      <c r="U177" s="156">
        <f t="shared" si="10"/>
        <v>0</v>
      </c>
      <c r="V177" s="157"/>
      <c r="W177" s="124"/>
      <c r="X177" s="59"/>
      <c r="Y177" s="59"/>
      <c r="Z177" s="59"/>
      <c r="AA177" s="59"/>
      <c r="AB177" s="59"/>
      <c r="AC177" s="78"/>
    </row>
    <row r="178" spans="2:29" ht="20" customHeight="1">
      <c r="B178" s="77"/>
      <c r="C178" s="105">
        <f t="shared" si="8"/>
        <v>0</v>
      </c>
      <c r="D178" s="143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5"/>
      <c r="S178" s="146" t="str">
        <f t="shared" si="9"/>
        <v/>
      </c>
      <c r="T178" s="147" t="str">
        <f t="shared" si="11"/>
        <v/>
      </c>
      <c r="U178" s="148">
        <f t="shared" si="10"/>
        <v>0</v>
      </c>
      <c r="V178" s="149"/>
      <c r="W178" s="121"/>
      <c r="X178" s="59"/>
      <c r="Y178" s="59"/>
      <c r="Z178" s="59"/>
      <c r="AA178" s="59"/>
      <c r="AB178" s="59"/>
      <c r="AC178" s="78"/>
    </row>
    <row r="179" spans="2:29" ht="20" customHeight="1">
      <c r="B179" s="77"/>
      <c r="C179" s="106">
        <f t="shared" si="8"/>
        <v>0</v>
      </c>
      <c r="D179" s="151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3"/>
      <c r="S179" s="154" t="str">
        <f t="shared" si="9"/>
        <v/>
      </c>
      <c r="T179" s="155" t="str">
        <f t="shared" si="11"/>
        <v/>
      </c>
      <c r="U179" s="156">
        <f t="shared" si="10"/>
        <v>0</v>
      </c>
      <c r="V179" s="157"/>
      <c r="W179" s="124"/>
      <c r="X179" s="59"/>
      <c r="Y179" s="59"/>
      <c r="Z179" s="59"/>
      <c r="AA179" s="59"/>
      <c r="AB179" s="59"/>
      <c r="AC179" s="78"/>
    </row>
    <row r="180" spans="2:29" ht="20" customHeight="1">
      <c r="B180" s="77"/>
      <c r="C180" s="105">
        <f t="shared" si="8"/>
        <v>0</v>
      </c>
      <c r="D180" s="143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5"/>
      <c r="S180" s="146" t="str">
        <f t="shared" si="9"/>
        <v/>
      </c>
      <c r="T180" s="147" t="str">
        <f t="shared" si="11"/>
        <v/>
      </c>
      <c r="U180" s="148">
        <f t="shared" si="10"/>
        <v>0</v>
      </c>
      <c r="V180" s="149"/>
      <c r="W180" s="121"/>
      <c r="X180" s="59"/>
      <c r="Y180" s="59"/>
      <c r="Z180" s="59"/>
      <c r="AA180" s="59"/>
      <c r="AB180" s="59"/>
      <c r="AC180" s="78"/>
    </row>
    <row r="181" spans="2:29" ht="20" customHeight="1">
      <c r="B181" s="77"/>
      <c r="C181" s="106">
        <f t="shared" si="8"/>
        <v>0</v>
      </c>
      <c r="D181" s="151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3"/>
      <c r="S181" s="154" t="str">
        <f t="shared" si="9"/>
        <v/>
      </c>
      <c r="T181" s="155" t="str">
        <f t="shared" si="11"/>
        <v/>
      </c>
      <c r="U181" s="156">
        <f t="shared" si="10"/>
        <v>0</v>
      </c>
      <c r="V181" s="157"/>
      <c r="W181" s="124"/>
      <c r="X181" s="59"/>
      <c r="Y181" s="59"/>
      <c r="Z181" s="59"/>
      <c r="AA181" s="59"/>
      <c r="AB181" s="59"/>
      <c r="AC181" s="78"/>
    </row>
    <row r="182" spans="2:29" ht="20" customHeight="1">
      <c r="B182" s="77"/>
      <c r="C182" s="105">
        <f t="shared" si="8"/>
        <v>0</v>
      </c>
      <c r="D182" s="143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5"/>
      <c r="S182" s="146" t="str">
        <f t="shared" si="9"/>
        <v/>
      </c>
      <c r="T182" s="147" t="str">
        <f t="shared" si="11"/>
        <v/>
      </c>
      <c r="U182" s="148">
        <f t="shared" si="10"/>
        <v>0</v>
      </c>
      <c r="V182" s="149"/>
      <c r="W182" s="121"/>
      <c r="X182" s="59"/>
      <c r="Y182" s="59"/>
      <c r="Z182" s="59"/>
      <c r="AA182" s="59"/>
      <c r="AB182" s="59"/>
      <c r="AC182" s="78"/>
    </row>
    <row r="183" spans="2:29" ht="20" customHeight="1">
      <c r="B183" s="77"/>
      <c r="C183" s="106">
        <f t="shared" si="8"/>
        <v>0</v>
      </c>
      <c r="D183" s="151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3"/>
      <c r="S183" s="154" t="str">
        <f t="shared" si="9"/>
        <v/>
      </c>
      <c r="T183" s="155" t="str">
        <f t="shared" si="11"/>
        <v/>
      </c>
      <c r="U183" s="156">
        <f t="shared" si="10"/>
        <v>0</v>
      </c>
      <c r="V183" s="157"/>
      <c r="W183" s="124"/>
      <c r="X183" s="59"/>
      <c r="Y183" s="59"/>
      <c r="Z183" s="59"/>
      <c r="AA183" s="59"/>
      <c r="AB183" s="59"/>
      <c r="AC183" s="78"/>
    </row>
    <row r="184" spans="2:29" ht="20" customHeight="1">
      <c r="B184" s="77"/>
      <c r="C184" s="105">
        <f t="shared" si="8"/>
        <v>0</v>
      </c>
      <c r="D184" s="143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5"/>
      <c r="S184" s="146" t="str">
        <f t="shared" si="9"/>
        <v/>
      </c>
      <c r="T184" s="147" t="str">
        <f t="shared" si="11"/>
        <v/>
      </c>
      <c r="U184" s="148">
        <f t="shared" si="10"/>
        <v>0</v>
      </c>
      <c r="V184" s="149"/>
      <c r="W184" s="121"/>
      <c r="X184" s="59"/>
      <c r="Y184" s="59"/>
      <c r="Z184" s="59"/>
      <c r="AA184" s="59"/>
      <c r="AB184" s="59"/>
      <c r="AC184" s="78"/>
    </row>
    <row r="185" spans="2:29" ht="20" customHeight="1">
      <c r="B185" s="77"/>
      <c r="C185" s="106">
        <f t="shared" si="8"/>
        <v>0</v>
      </c>
      <c r="D185" s="151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3"/>
      <c r="S185" s="154" t="str">
        <f t="shared" si="9"/>
        <v/>
      </c>
      <c r="T185" s="155" t="str">
        <f t="shared" si="11"/>
        <v/>
      </c>
      <c r="U185" s="156">
        <f t="shared" si="10"/>
        <v>0</v>
      </c>
      <c r="V185" s="157"/>
      <c r="W185" s="124"/>
      <c r="X185" s="59"/>
      <c r="Y185" s="59"/>
      <c r="Z185" s="59"/>
      <c r="AA185" s="59"/>
      <c r="AB185" s="59"/>
      <c r="AC185" s="78"/>
    </row>
    <row r="186" spans="2:29" ht="20" customHeight="1">
      <c r="B186" s="77"/>
      <c r="C186" s="105">
        <f t="shared" si="8"/>
        <v>0</v>
      </c>
      <c r="D186" s="143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5"/>
      <c r="S186" s="146" t="str">
        <f t="shared" si="9"/>
        <v/>
      </c>
      <c r="T186" s="147" t="str">
        <f t="shared" si="11"/>
        <v/>
      </c>
      <c r="U186" s="148">
        <f t="shared" si="10"/>
        <v>0</v>
      </c>
      <c r="V186" s="149"/>
      <c r="W186" s="121"/>
      <c r="X186" s="59"/>
      <c r="Y186" s="59"/>
      <c r="Z186" s="59"/>
      <c r="AA186" s="59"/>
      <c r="AB186" s="59"/>
      <c r="AC186" s="78"/>
    </row>
    <row r="187" spans="2:29" ht="20" customHeight="1">
      <c r="B187" s="77"/>
      <c r="C187" s="106">
        <f t="shared" si="8"/>
        <v>0</v>
      </c>
      <c r="D187" s="151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3"/>
      <c r="S187" s="154" t="str">
        <f t="shared" si="9"/>
        <v/>
      </c>
      <c r="T187" s="155" t="str">
        <f t="shared" si="11"/>
        <v/>
      </c>
      <c r="U187" s="156">
        <f t="shared" si="10"/>
        <v>0</v>
      </c>
      <c r="V187" s="157"/>
      <c r="W187" s="124"/>
      <c r="X187" s="59"/>
      <c r="Y187" s="59"/>
      <c r="Z187" s="59"/>
      <c r="AA187" s="59"/>
      <c r="AB187" s="59"/>
      <c r="AC187" s="78"/>
    </row>
    <row r="188" spans="2:29" ht="20" customHeight="1">
      <c r="B188" s="77"/>
      <c r="C188" s="105">
        <f t="shared" si="8"/>
        <v>0</v>
      </c>
      <c r="D188" s="143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5"/>
      <c r="S188" s="146" t="str">
        <f t="shared" si="9"/>
        <v/>
      </c>
      <c r="T188" s="147" t="str">
        <f t="shared" si="11"/>
        <v/>
      </c>
      <c r="U188" s="148">
        <f t="shared" si="10"/>
        <v>0</v>
      </c>
      <c r="V188" s="149"/>
      <c r="W188" s="121"/>
      <c r="X188" s="59"/>
      <c r="Y188" s="59"/>
      <c r="Z188" s="59"/>
      <c r="AA188" s="59"/>
      <c r="AB188" s="59"/>
      <c r="AC188" s="78"/>
    </row>
    <row r="189" spans="2:29" ht="20" customHeight="1">
      <c r="B189" s="77"/>
      <c r="C189" s="106">
        <f t="shared" si="8"/>
        <v>0</v>
      </c>
      <c r="D189" s="151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3"/>
      <c r="S189" s="154" t="str">
        <f t="shared" si="9"/>
        <v/>
      </c>
      <c r="T189" s="155" t="str">
        <f t="shared" si="11"/>
        <v/>
      </c>
      <c r="U189" s="156">
        <f t="shared" si="10"/>
        <v>0</v>
      </c>
      <c r="V189" s="157"/>
      <c r="W189" s="124"/>
      <c r="X189" s="59"/>
      <c r="Y189" s="59"/>
      <c r="Z189" s="59"/>
      <c r="AA189" s="59"/>
      <c r="AB189" s="59"/>
      <c r="AC189" s="78"/>
    </row>
    <row r="190" spans="2:29" ht="20" customHeight="1">
      <c r="B190" s="77"/>
      <c r="C190" s="105">
        <f t="shared" si="8"/>
        <v>0</v>
      </c>
      <c r="D190" s="143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5"/>
      <c r="S190" s="146" t="str">
        <f t="shared" si="9"/>
        <v/>
      </c>
      <c r="T190" s="147" t="str">
        <f t="shared" si="11"/>
        <v/>
      </c>
      <c r="U190" s="148">
        <f t="shared" si="10"/>
        <v>0</v>
      </c>
      <c r="V190" s="149"/>
      <c r="W190" s="121"/>
      <c r="X190" s="59"/>
      <c r="Y190" s="59"/>
      <c r="Z190" s="59"/>
      <c r="AA190" s="59"/>
      <c r="AB190" s="59"/>
      <c r="AC190" s="78"/>
    </row>
    <row r="191" spans="2:29" ht="20" customHeight="1">
      <c r="B191" s="77"/>
      <c r="C191" s="106">
        <f t="shared" si="8"/>
        <v>0</v>
      </c>
      <c r="D191" s="151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3"/>
      <c r="S191" s="154" t="str">
        <f t="shared" si="9"/>
        <v/>
      </c>
      <c r="T191" s="155" t="str">
        <f t="shared" si="11"/>
        <v/>
      </c>
      <c r="U191" s="156">
        <f t="shared" si="10"/>
        <v>0</v>
      </c>
      <c r="V191" s="157"/>
      <c r="W191" s="124"/>
      <c r="X191" s="59"/>
      <c r="Y191" s="59"/>
      <c r="Z191" s="59"/>
      <c r="AA191" s="59"/>
      <c r="AB191" s="59"/>
      <c r="AC191" s="78"/>
    </row>
    <row r="192" spans="2:29" ht="20" customHeight="1">
      <c r="B192" s="77"/>
      <c r="C192" s="105">
        <f t="shared" si="8"/>
        <v>0</v>
      </c>
      <c r="D192" s="143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5"/>
      <c r="S192" s="146" t="str">
        <f t="shared" si="9"/>
        <v/>
      </c>
      <c r="T192" s="147" t="str">
        <f t="shared" si="11"/>
        <v/>
      </c>
      <c r="U192" s="148">
        <f t="shared" si="10"/>
        <v>0</v>
      </c>
      <c r="V192" s="149"/>
      <c r="W192" s="121"/>
      <c r="X192" s="59"/>
      <c r="Y192" s="59"/>
      <c r="Z192" s="59"/>
      <c r="AA192" s="59"/>
      <c r="AB192" s="59"/>
      <c r="AC192" s="78"/>
    </row>
    <row r="193" spans="2:29" ht="20" customHeight="1">
      <c r="B193" s="77"/>
      <c r="C193" s="106">
        <f t="shared" si="8"/>
        <v>0</v>
      </c>
      <c r="D193" s="151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3"/>
      <c r="S193" s="154" t="str">
        <f t="shared" si="9"/>
        <v/>
      </c>
      <c r="T193" s="155" t="str">
        <f t="shared" si="11"/>
        <v/>
      </c>
      <c r="U193" s="156">
        <f t="shared" si="10"/>
        <v>0</v>
      </c>
      <c r="V193" s="157"/>
      <c r="W193" s="124"/>
      <c r="X193" s="59"/>
      <c r="Y193" s="59"/>
      <c r="Z193" s="59"/>
      <c r="AA193" s="59"/>
      <c r="AB193" s="59"/>
      <c r="AC193" s="78"/>
    </row>
    <row r="194" spans="2:29" ht="20" customHeight="1">
      <c r="B194" s="77"/>
      <c r="C194" s="105">
        <f t="shared" si="8"/>
        <v>0</v>
      </c>
      <c r="D194" s="143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5"/>
      <c r="S194" s="146" t="str">
        <f t="shared" si="9"/>
        <v/>
      </c>
      <c r="T194" s="147" t="str">
        <f t="shared" si="11"/>
        <v/>
      </c>
      <c r="U194" s="148">
        <f t="shared" si="10"/>
        <v>0</v>
      </c>
      <c r="V194" s="149"/>
      <c r="W194" s="121"/>
      <c r="X194" s="59"/>
      <c r="Y194" s="59"/>
      <c r="Z194" s="59"/>
      <c r="AA194" s="59"/>
      <c r="AB194" s="59"/>
      <c r="AC194" s="78"/>
    </row>
    <row r="195" spans="2:29" ht="20" customHeight="1">
      <c r="B195" s="77"/>
      <c r="C195" s="106">
        <f t="shared" si="8"/>
        <v>0</v>
      </c>
      <c r="D195" s="151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3"/>
      <c r="S195" s="154" t="str">
        <f t="shared" si="9"/>
        <v/>
      </c>
      <c r="T195" s="155" t="str">
        <f t="shared" si="11"/>
        <v/>
      </c>
      <c r="U195" s="156">
        <f t="shared" si="10"/>
        <v>0</v>
      </c>
      <c r="V195" s="157"/>
      <c r="W195" s="124"/>
      <c r="X195" s="59"/>
      <c r="Y195" s="59"/>
      <c r="Z195" s="59"/>
      <c r="AA195" s="59"/>
      <c r="AB195" s="59"/>
      <c r="AC195" s="78"/>
    </row>
    <row r="196" spans="2:29" ht="20" customHeight="1">
      <c r="B196" s="77"/>
      <c r="C196" s="105">
        <f t="shared" si="8"/>
        <v>0</v>
      </c>
      <c r="D196" s="143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5"/>
      <c r="S196" s="146" t="str">
        <f t="shared" si="9"/>
        <v/>
      </c>
      <c r="T196" s="147" t="str">
        <f t="shared" si="11"/>
        <v/>
      </c>
      <c r="U196" s="148">
        <f t="shared" si="10"/>
        <v>0</v>
      </c>
      <c r="V196" s="149"/>
      <c r="W196" s="121"/>
      <c r="X196" s="59"/>
      <c r="Y196" s="59"/>
      <c r="Z196" s="59"/>
      <c r="AA196" s="59"/>
      <c r="AB196" s="59"/>
      <c r="AC196" s="78"/>
    </row>
    <row r="197" spans="2:29" ht="20" customHeight="1">
      <c r="B197" s="77"/>
      <c r="C197" s="106">
        <f t="shared" si="8"/>
        <v>0</v>
      </c>
      <c r="D197" s="151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3"/>
      <c r="S197" s="154" t="str">
        <f t="shared" si="9"/>
        <v/>
      </c>
      <c r="T197" s="155" t="str">
        <f t="shared" si="11"/>
        <v/>
      </c>
      <c r="U197" s="156">
        <f t="shared" si="10"/>
        <v>0</v>
      </c>
      <c r="V197" s="157"/>
      <c r="W197" s="124"/>
      <c r="X197" s="59"/>
      <c r="Y197" s="59"/>
      <c r="Z197" s="59"/>
      <c r="AA197" s="59"/>
      <c r="AB197" s="59"/>
      <c r="AC197" s="78"/>
    </row>
    <row r="198" spans="2:29" ht="20" customHeight="1">
      <c r="B198" s="77"/>
      <c r="C198" s="105">
        <f t="shared" si="8"/>
        <v>0</v>
      </c>
      <c r="D198" s="143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5"/>
      <c r="S198" s="146" t="str">
        <f t="shared" si="9"/>
        <v/>
      </c>
      <c r="T198" s="147" t="str">
        <f t="shared" si="11"/>
        <v/>
      </c>
      <c r="U198" s="148">
        <f t="shared" si="10"/>
        <v>0</v>
      </c>
      <c r="V198" s="149"/>
      <c r="W198" s="121"/>
      <c r="X198" s="59"/>
      <c r="Y198" s="59"/>
      <c r="Z198" s="59"/>
      <c r="AA198" s="59"/>
      <c r="AB198" s="59"/>
      <c r="AC198" s="78"/>
    </row>
    <row r="199" spans="2:29" ht="20" customHeight="1" thickBot="1">
      <c r="B199" s="77"/>
      <c r="C199" s="107">
        <f t="shared" si="8"/>
        <v>0</v>
      </c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3"/>
      <c r="S199" s="164" t="str">
        <f t="shared" si="9"/>
        <v/>
      </c>
      <c r="T199" s="165" t="str">
        <f t="shared" si="11"/>
        <v/>
      </c>
      <c r="U199" s="166">
        <f t="shared" si="10"/>
        <v>0</v>
      </c>
      <c r="V199" s="167"/>
      <c r="W199" s="127"/>
      <c r="X199" s="59"/>
      <c r="Y199" s="59"/>
      <c r="Z199" s="59"/>
      <c r="AA199" s="59"/>
      <c r="AB199" s="59"/>
      <c r="AC199" s="78"/>
    </row>
    <row r="200" spans="2:29" ht="20" customHeight="1">
      <c r="B200" s="77"/>
      <c r="C200" s="92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59"/>
      <c r="Y200" s="59"/>
      <c r="Z200" s="59"/>
      <c r="AA200" s="59"/>
      <c r="AB200" s="59"/>
      <c r="AC200" s="78"/>
    </row>
    <row r="201" spans="2:29" ht="20" customHeight="1">
      <c r="B201" s="77"/>
      <c r="C201" s="92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59"/>
      <c r="Y201" s="59"/>
      <c r="Z201" s="59"/>
      <c r="AA201" s="59"/>
      <c r="AB201" s="59"/>
      <c r="AC201" s="78"/>
    </row>
    <row r="202" spans="2:29" ht="20" customHeight="1" thickBot="1">
      <c r="B202" s="79"/>
      <c r="C202" s="95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80"/>
      <c r="Y202" s="80"/>
      <c r="Z202" s="80"/>
      <c r="AA202" s="80"/>
      <c r="AB202" s="80"/>
      <c r="AC202" s="81"/>
    </row>
  </sheetData>
  <sheetProtection password="CB5E" sheet="1" objects="1" scenarios="1"/>
  <mergeCells count="8">
    <mergeCell ref="T8:T10"/>
    <mergeCell ref="U8:U10"/>
    <mergeCell ref="D8:R10"/>
    <mergeCell ref="C8:C10"/>
    <mergeCell ref="Y8:AB9"/>
    <mergeCell ref="W8:W10"/>
    <mergeCell ref="V8:V10"/>
    <mergeCell ref="S8:S10"/>
  </mergeCells>
  <phoneticPr fontId="18" type="noConversion"/>
  <pageMargins left="0.75" right="0.75" top="1" bottom="1" header="0.5" footer="0.5"/>
  <pageSetup paperSize="0" scale="29" orientation="portrait" horizontalDpi="4294967292" verticalDpi="4294967292"/>
  <headerFooter alignWithMargins="0"/>
  <colBreaks count="1" manualBreakCount="1">
    <brk id="3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Square Calculator</vt:lpstr>
      <vt:lpstr>Nomina Barbara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2010-05-08T05:20:44Z</dcterms:created>
  <dcterms:modified xsi:type="dcterms:W3CDTF">2018-12-23T06:11:34Z</dcterms:modified>
  <cp:category/>
</cp:coreProperties>
</file>